
<file path=[Content_Types].xml><?xml version="1.0" encoding="utf-8"?>
<Types xmlns="http://schemas.openxmlformats.org/package/2006/content-types">
  <Default Extension="xml" ContentType="application/xml"/>
  <Default Extension="vml" ContentType="application/vnd.openxmlformats-officedocument.vmlDrawing"/>
  <Default Extension="jpeg" ContentType="image/jpeg"/>
  <Default Extension="JPG" ContentType="image/.jpg"/>
  <Default Extension="gif" ContentType="image/gif"/>
  <Default Extension="png" ContentType="image/png"/>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trlProps/ctrlProp1.xml" ContentType="application/vnd.ms-excel.control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workbookProtection workbookAlgorithmName="SHA-512" workbookHashValue="tJMU8R9c0VKfb39+SPkKNlIuE1NSdkH4aIQIFDLp6r4LoBn3G/n1Yo3CPawD1hQFg/hK8GKi2GRiQ0bCWoyAQw==" workbookSaltValue="6RbOUe9274EjTZSL04n8Rg==" workbookSpinCount="100000" lockStructure="1"/>
  <bookViews>
    <workbookView windowWidth="27945" windowHeight="12300"/>
  </bookViews>
  <sheets>
    <sheet name="Design Converter" sheetId="1" r:id="rId1"/>
    <sheet name="Licenses" sheetId="10" r:id="rId2"/>
    <sheet name="Variable_Management" sheetId="2" state="hidden" r:id="rId3"/>
    <sheet name="Eff_vs_IOUT" sheetId="4" state="hidden" r:id="rId4"/>
    <sheet name="Loop_Modeling" sheetId="5" state="hidden" r:id="rId5"/>
    <sheet name="Constants" sheetId="3" state="hidden" r:id="rId6"/>
    <sheet name="Plot_Management_Eff" sheetId="6" state="hidden" r:id="rId7"/>
    <sheet name="Plot_Management_Sch" sheetId="7" state="hidden" r:id="rId8"/>
    <sheet name="Lists" sheetId="8" state="hidden" r:id="rId9"/>
  </sheets>
  <definedNames>
    <definedName name="Acs">Constants!$B$30</definedName>
    <definedName name="Adc">Loop_Modeling!$B$34</definedName>
    <definedName name="Adc_ea">Loop_Modeling!$B$58</definedName>
    <definedName name="ADC_VINmin">Variable_Management!$B$178</definedName>
    <definedName name="Cac">Variable_Management!$B$132</definedName>
    <definedName name="Cac_min">Variable_Management!$B$131</definedName>
    <definedName name="CCOMP">Variable_Management!$B$238</definedName>
    <definedName name="CCOMP_Calc">Variable_Management!$B$237</definedName>
    <definedName name="CCOMP_calc_CCM">Variable_Management!$B$207</definedName>
    <definedName name="CCOMP_CALC_DCM">Variable_Management!$B$228</definedName>
    <definedName name="CHF">Variable_Management!$B$240</definedName>
    <definedName name="CHF_calc">Variable_Management!$B$239</definedName>
    <definedName name="CHF_CALC_CCM">Variable_Management!$B$208</definedName>
    <definedName name="CHF_CALC_DCM">Variable_Management!$B$229</definedName>
    <definedName name="Comp_calc_CCM">Variable_Management!$B$207</definedName>
    <definedName name="Cout">Variable_Management!$B$144</definedName>
    <definedName name="Cout_min">Variable_Management!$B$142</definedName>
    <definedName name="D_limit_max">Constants!$B$18</definedName>
    <definedName name="D_limit_min">Constants!$B$16</definedName>
    <definedName name="D_limit_nom">Constants!$B$17</definedName>
    <definedName name="DC_DCM_max">Variable_Management!$B$32</definedName>
    <definedName name="Dc_max_IC">Variable_Management!$B$20</definedName>
    <definedName name="Dc_max_ideal">Variable_Management!$A$19</definedName>
    <definedName name="DC_rip">Variable_Management!#REF!</definedName>
    <definedName name="Dc_rip_max">Variable_Management!#REF!</definedName>
    <definedName name="Dc_VIN_max">Variable_Management!$B$87</definedName>
    <definedName name="Dc_VIN_min">Variable_Management!$B$53</definedName>
    <definedName name="Dc_VIN_nom">Variable_Management!$B$70</definedName>
    <definedName name="DC_VIN_Var">Loop_Modeling!$B$18</definedName>
    <definedName name="DC_VIN_var_DCM">Loop_Modeling!$B$66</definedName>
    <definedName name="EFF_est">Variable_Management!$B$17</definedName>
    <definedName name="Eff_vs_IOUT">Plot_Management_Eff!$C$3</definedName>
    <definedName name="fcross">Variable_Management!$B$233</definedName>
    <definedName name="fcross_est">Variable_Management!$B$232</definedName>
    <definedName name="fp_ea_est">Variable_Management!$B$202</definedName>
    <definedName name="Fsw">Variable_Management!$B$10</definedName>
    <definedName name="fz_ea_est">Variable_Management!$B$201</definedName>
    <definedName name="fz_rhp">Variable_Management!$B$187</definedName>
    <definedName name="Gcomp">Constants!$B$29</definedName>
    <definedName name="Gea_mid_calc">Variable_Management!#REF!</definedName>
    <definedName name="gfs">Variable_Management!$B$256</definedName>
    <definedName name="gm_ea">Constants!$B$34</definedName>
    <definedName name="Gplant_fc_dB">Loop_Modeling!$AD$7</definedName>
    <definedName name="IIN_33">Variable_Management!#REF!</definedName>
    <definedName name="IL_coupled">Variable_Management!$B$24</definedName>
    <definedName name="IL_pk">Variable_Management!$B$122</definedName>
    <definedName name="IL_pk_max">Variable_Management!$B$123</definedName>
    <definedName name="ILA_avg_VIN_max">Variable_Management!$B$90</definedName>
    <definedName name="ILA_avg_VIN_min">Variable_Management!$B$56</definedName>
    <definedName name="ILA_avg_VIN_nom">Variable_Management!$B$73</definedName>
    <definedName name="ILAp_VINmax">Variable_Management!$B$92</definedName>
    <definedName name="ILAp_VINmin">Variable_Management!$B$58</definedName>
    <definedName name="ILAp_VINnom">Variable_Management!$B$75</definedName>
    <definedName name="ILArip_VINmax">Variable_Management!$B$91</definedName>
    <definedName name="ILArip_VINmin">Variable_Management!$B$57</definedName>
    <definedName name="ILArip_VINnom">Variable_Management!$B$74</definedName>
    <definedName name="ILB_avg_VIN_max">Variable_Management!$B$95</definedName>
    <definedName name="ILB_avg_VIN_min">Variable_Management!$B$61</definedName>
    <definedName name="ILB_avg_VIN_nom">Variable_Management!$B$78</definedName>
    <definedName name="ILBp_VIN_max">Variable_Management!$B$97</definedName>
    <definedName name="ILBp_VIN_min">Variable_Management!$B$63</definedName>
    <definedName name="ILBp_VIN_nom">Variable_Management!$B$80</definedName>
    <definedName name="ILBrip_VIN_max">Variable_Management!$B$96</definedName>
    <definedName name="ILBrip_VIN_nom">Variable_Management!$B$79</definedName>
    <definedName name="ILBrip_VINmin">Variable_Management!$B$62</definedName>
    <definedName name="ILrip">Variable_Management!$B$28</definedName>
    <definedName name="IOUT">Variable_Management!$B$14</definedName>
    <definedName name="IOUT_VAR">Loop_Modeling!$B$17</definedName>
    <definedName name="Ipk_margin">Variable_Management!$B$103</definedName>
    <definedName name="Ipk_selected">Variable_Management!$B$104</definedName>
    <definedName name="IQ">Constants!$B$48</definedName>
    <definedName name="IRMS_COUT">Variable_Management!$B$143</definedName>
    <definedName name="Isl">Constants!$B$25</definedName>
    <definedName name="Iss">Constants!$B$37</definedName>
    <definedName name="ISW_peak_VIN_min">Variable_Management!$B$66</definedName>
    <definedName name="ISW_peak_VIN_nom">Variable_Management!$B$83</definedName>
    <definedName name="Kslope">Variable_Management!$B$110</definedName>
    <definedName name="Lm">Variable_Management!$B$40</definedName>
    <definedName name="Lm_A">Variable_Management!$B$42</definedName>
    <definedName name="Lm_B">Variable_Management!$B$44</definedName>
    <definedName name="Lopt">Variable_Management!#REF!</definedName>
    <definedName name="Lopt_2">Variable_Management!$B$29</definedName>
    <definedName name="M_L_DCM">Variable_Management!$B$34</definedName>
    <definedName name="POUT">Variable_Management!$B$16</definedName>
    <definedName name="_xlnm.Print_Area" localSheetId="0">'Design Converter'!$A$1:$Z$102</definedName>
    <definedName name="Q">Loop_Modeling!$B$48</definedName>
    <definedName name="Q_VINmin">Variable_Management!$B$195</definedName>
    <definedName name="Qg_tot">Variable_Management!$B$251</definedName>
    <definedName name="Qgd">Variable_Management!$B$252</definedName>
    <definedName name="Qgs">Variable_Management!$B$253</definedName>
    <definedName name="Qrr">Variable_Management!$B$246</definedName>
    <definedName name="R_cs">Variable_Management!$B$118</definedName>
    <definedName name="R_sl">Variable_Management!$B$119</definedName>
    <definedName name="RCOMP">Variable_Management!$B$236</definedName>
    <definedName name="RCOMP_Calc">Variable_Management!$B$235</definedName>
    <definedName name="Rcomp_calc_CCM">Variable_Management!$B$206</definedName>
    <definedName name="RCOMP_CALC_DCM">Variable_Management!$B$227</definedName>
    <definedName name="Rcs_max">Variable_Management!$B$107</definedName>
    <definedName name="Rcs_w_sl">Variable_Management!$B$111</definedName>
    <definedName name="Rcs_wo_sl">Variable_Management!$B$108</definedName>
    <definedName name="Rdcr">Variable_Management!$B$46</definedName>
    <definedName name="RDS_on">Variable_Management!$B$250</definedName>
    <definedName name="Resr">Variable_Management!$B$145</definedName>
    <definedName name="RFBB">Variable_Management!$B$172</definedName>
    <definedName name="RFBB_calc">Variable_Management!$B$171</definedName>
    <definedName name="RFBT">Variable_Management!$B$170</definedName>
    <definedName name="Rgate">Variable_Management!$B$254</definedName>
    <definedName name="ROUT">Variable_Management!$B$15</definedName>
    <definedName name="Rsl_int">Constants!$B$26</definedName>
    <definedName name="RT">Variable_Management!$B$11</definedName>
    <definedName name="Ruvlo_bottom_calc">Variable_Management!$B$161</definedName>
    <definedName name="Ruvlo_top">Variable_Management!$B$160</definedName>
    <definedName name="Ruvlo_top_calc">Variable_Management!$B$159</definedName>
    <definedName name="SCH_1">Plot_Management_Sch!$B$2</definedName>
    <definedName name="Se_VINmin">Variable_Management!$B$191</definedName>
    <definedName name="Sn_VINmin">Variable_Management!$B$192</definedName>
    <definedName name="tf_sw">Variable_Management!$B$263</definedName>
    <definedName name="tr_sw">Variable_Management!$B$262</definedName>
    <definedName name="tss">Variable_Management!$B$150</definedName>
    <definedName name="UV_fall">Constants!$B$41</definedName>
    <definedName name="UV_I_hyst">Constants!$B$42</definedName>
    <definedName name="UV_rise">Constants!$B$40</definedName>
    <definedName name="Vcc">Constants!$B$45</definedName>
    <definedName name="Vcl">Constants!$B$27</definedName>
    <definedName name="VCrr">Variable_Management!$B$130</definedName>
    <definedName name="Vd_rect">Variable_Management!$B$245</definedName>
    <definedName name="VIN_33">Variable_Management!#REF!</definedName>
    <definedName name="VIN_max">Variable_Management!$B$9</definedName>
    <definedName name="VIN_min">Variable_Management!$B$7</definedName>
    <definedName name="VIN_nom">Variable_Management!$B$8</definedName>
    <definedName name="VIN_op_max">Constants!$B$52</definedName>
    <definedName name="VIN_op_min">Constants!$B$51</definedName>
    <definedName name="VIN_var">Loop_Modeling!$B$16</definedName>
    <definedName name="VOUT">Variable_Management!$B$13</definedName>
    <definedName name="Vout_rip_sel">Variable_Management!$B$140</definedName>
    <definedName name="Vref">Constants!$B$33</definedName>
    <definedName name="Vth">Variable_Management!$B$257</definedName>
    <definedName name="Vuvlo_off">Variable_Management!$B$155</definedName>
    <definedName name="Vuvlo_on">Variable_Management!$B$154</definedName>
    <definedName name="wp_lf">Loop_Modeling!$B$35</definedName>
    <definedName name="wp_lf_DCM">Loop_Modeling!$B$69</definedName>
    <definedName name="wp_lf_VINmin">Variable_Management!$B$180</definedName>
    <definedName name="wp0_ea">Loop_Modeling!$B$60</definedName>
    <definedName name="wp1_ea">Loop_Modeling!$B$61</definedName>
    <definedName name="wsl">Loop_Modeling!$B$47</definedName>
    <definedName name="wsl_VINmin">Variable_Management!$B$194</definedName>
    <definedName name="wz_ea">Loop_Modeling!$B$59</definedName>
    <definedName name="wz_esr">Loop_Modeling!$B$41</definedName>
    <definedName name="wz_esr_VINmin">Variable_Management!$B$183</definedName>
    <definedName name="wz_rhp">Loop_Modeling!$B$38</definedName>
    <definedName name="wz_RHP_VINmin">Variable_Management!$B$186</definedName>
    <definedName name="wz1_dcm">Loop_Modeling!$B$71</definedName>
    <definedName name="wz2_dcm">Loop_Modeling!$B$73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BMC-BCS</author>
  </authors>
  <commentList>
    <comment ref="A3" authorId="0">
      <text>
        <r>
          <rPr>
            <b/>
            <sz val="11"/>
            <color indexed="10"/>
            <rFont val="Tahoma"/>
            <charset val="134"/>
          </rPr>
          <t>Welcome to the LM34x8 Design Tool</t>
        </r>
        <r>
          <rPr>
            <sz val="9"/>
            <rFont val="Tahoma"/>
            <charset val="134"/>
          </rPr>
          <t xml:space="preserve">
This stand-alone tool facilitates and assists the power supply engineer with design of a DC-DC boost converter based on the LM34x8 SEPIC controller. As such, the user can expeditiously arrive at an optimized design by virtue of the following:
- Select components
- Optimize compensation values and pole/zero placement in terms of control loop stability using crossover frquency as a performance metric
- Inspect regulator efficiency and component power dissipation
- Analyze efficiency based on selected MOSFET, inductor and diode parameters
IMPORTANT: You must enable macros if Microsoft Excel asks as the file is being opened. U.S. English notation is used throughout. Make sure to input or select values in all of the yellow shaded cells even if a value already exists in that cell. Do not over write equations in cells, as this may result in calculation errors.
</t>
        </r>
      </text>
    </comment>
    <comment ref="G7" authorId="0">
      <text>
        <r>
          <rPr>
            <b/>
            <sz val="9"/>
            <rFont val="Tahoma"/>
            <charset val="134"/>
          </rPr>
          <t xml:space="preserve">Minimum Input Voltage:
</t>
        </r>
        <r>
          <rPr>
            <sz val="9"/>
            <rFont val="Tahoma"/>
            <charset val="134"/>
          </rPr>
          <t xml:space="preserve">Enter the minimum operating input voltage.
The LM34x8 VIN pin voltage operating range is 2.97V to 40V.
</t>
        </r>
        <r>
          <rPr>
            <b/>
            <sz val="9"/>
            <rFont val="Tahoma"/>
            <charset val="134"/>
          </rPr>
          <t xml:space="preserve">
</t>
        </r>
        <r>
          <rPr>
            <b/>
            <sz val="9"/>
            <color indexed="10"/>
            <rFont val="Tahoma"/>
            <charset val="134"/>
          </rPr>
          <t>The text in the cell is flagged red if:</t>
        </r>
        <r>
          <rPr>
            <b/>
            <sz val="9"/>
            <rFont val="Tahoma"/>
            <charset val="134"/>
          </rPr>
          <t xml:space="preserve">
</t>
        </r>
        <r>
          <rPr>
            <sz val="9"/>
            <rFont val="Tahoma"/>
            <charset val="134"/>
          </rPr>
          <t>-The input voltage is above 40V
-The input voltage is below 2.97V</t>
        </r>
      </text>
    </comment>
    <comment ref="G8" authorId="0">
      <text>
        <r>
          <rPr>
            <b/>
            <sz val="9"/>
            <rFont val="Tahoma"/>
            <charset val="134"/>
          </rPr>
          <t xml:space="preserve">Nominal Input Voltage:
</t>
        </r>
        <r>
          <rPr>
            <sz val="9"/>
            <rFont val="Tahoma"/>
            <charset val="134"/>
          </rPr>
          <t>Enter the nominal operating input voltage.
The LM34x8 input voltage operating range is 2.97V to 40V.</t>
        </r>
        <r>
          <rPr>
            <b/>
            <sz val="9"/>
            <rFont val="Tahoma"/>
            <charset val="134"/>
          </rPr>
          <t xml:space="preserve">
</t>
        </r>
        <r>
          <rPr>
            <b/>
            <sz val="9"/>
            <color indexed="10"/>
            <rFont val="Tahoma"/>
            <charset val="134"/>
          </rPr>
          <t>The text in the cell is flagged red if:</t>
        </r>
        <r>
          <rPr>
            <b/>
            <sz val="9"/>
            <rFont val="Tahoma"/>
            <charset val="134"/>
          </rPr>
          <t xml:space="preserve">
</t>
        </r>
        <r>
          <rPr>
            <sz val="9"/>
            <rFont val="Tahoma"/>
            <charset val="134"/>
          </rPr>
          <t>-The input voltage is above V</t>
        </r>
        <r>
          <rPr>
            <vertAlign val="subscript"/>
            <sz val="9"/>
            <rFont val="Tahoma"/>
            <charset val="134"/>
          </rPr>
          <t>SUPPLY</t>
        </r>
        <r>
          <rPr>
            <sz val="9"/>
            <rFont val="Tahoma"/>
            <charset val="134"/>
          </rPr>
          <t>(max)
-The input voltage is below V</t>
        </r>
        <r>
          <rPr>
            <vertAlign val="subscript"/>
            <sz val="9"/>
            <rFont val="Tahoma"/>
            <charset val="134"/>
          </rPr>
          <t>SUPPLY</t>
        </r>
        <r>
          <rPr>
            <sz val="9"/>
            <rFont val="Tahoma"/>
            <charset val="134"/>
          </rPr>
          <t>(min)</t>
        </r>
      </text>
    </comment>
    <comment ref="G9" authorId="0">
      <text>
        <r>
          <rPr>
            <b/>
            <sz val="9"/>
            <rFont val="Tahoma"/>
            <charset val="134"/>
          </rPr>
          <t>Maximum Input Voltage:</t>
        </r>
        <r>
          <rPr>
            <sz val="9"/>
            <rFont val="Tahoma"/>
            <charset val="134"/>
          </rPr>
          <t xml:space="preserve">
Enter the maximum operating input voltage.
The LM34x8 input voltage operating range is 2.97V to 40V.
</t>
        </r>
        <r>
          <rPr>
            <b/>
            <sz val="9"/>
            <color indexed="10"/>
            <rFont val="Tahoma"/>
            <charset val="134"/>
          </rPr>
          <t xml:space="preserve">
The text in the cell is flagged red if:</t>
        </r>
        <r>
          <rPr>
            <sz val="9"/>
            <rFont val="Tahoma"/>
            <charset val="134"/>
          </rPr>
          <t xml:space="preserve">
-The input voltage is above 40V
-The input voltage is below 2.97V</t>
        </r>
      </text>
    </comment>
    <comment ref="G10" authorId="0">
      <text>
        <r>
          <rPr>
            <b/>
            <sz val="9"/>
            <rFont val="Tahoma"/>
            <charset val="134"/>
          </rPr>
          <t>Output Voltage:</t>
        </r>
        <r>
          <rPr>
            <sz val="9"/>
            <rFont val="Tahoma"/>
            <charset val="134"/>
          </rPr>
          <t xml:space="preserve">
Enter the desired output voltage.
</t>
        </r>
      </text>
    </comment>
    <comment ref="G12" authorId="0">
      <text>
        <r>
          <rPr>
            <b/>
            <sz val="9"/>
            <rFont val="Tahoma"/>
            <charset val="134"/>
          </rPr>
          <t>Operating Frequency (set by FA/SD):</t>
        </r>
        <r>
          <rPr>
            <sz val="9"/>
            <rFont val="Tahoma"/>
            <charset val="134"/>
          </rPr>
          <t xml:space="preserve">
This cell defines the free-running switching frequency set by the RT resistor. 
</t>
        </r>
        <r>
          <rPr>
            <sz val="11"/>
            <color indexed="10"/>
            <rFont val="Calibri"/>
            <scheme val="minor"/>
            <charset val="0"/>
          </rPr>
          <t>The text in the cell is flagged red if:</t>
        </r>
        <r>
          <rPr>
            <sz val="9"/>
            <rFont val="Tahoma"/>
            <charset val="134"/>
          </rPr>
          <t xml:space="preserve">
-The frequency is below 100 kHz
-The frequency is above 1 MHz</t>
        </r>
      </text>
    </comment>
    <comment ref="G15" authorId="0">
      <text>
        <r>
          <rPr>
            <b/>
            <sz val="9"/>
            <rFont val="Tahoma"/>
            <charset val="134"/>
          </rPr>
          <t xml:space="preserve">Maximum duty cycle
</t>
        </r>
        <r>
          <rPr>
            <sz val="9"/>
            <rFont val="Tahoma"/>
            <charset val="134"/>
          </rPr>
          <t xml:space="preserve">The LM3478-88 has a maximum duty cycle of 100%.
The limits for the maximum duty cycle can not be specified since the part does not permit less than 100% maximum duty cycle operation
</t>
        </r>
      </text>
    </comment>
    <comment ref="G16" authorId="0">
      <text>
        <r>
          <rPr>
            <sz val="9"/>
            <color indexed="10"/>
            <rFont val="Tahoma"/>
            <charset val="134"/>
          </rPr>
          <t xml:space="preserve">
</t>
        </r>
        <r>
          <rPr>
            <b/>
            <sz val="9"/>
            <color indexed="10"/>
            <rFont val="Tahoma"/>
            <charset val="134"/>
          </rPr>
          <t>The text in the cell is flagged red if:</t>
        </r>
        <r>
          <rPr>
            <sz val="9"/>
            <rFont val="Tahoma"/>
            <charset val="134"/>
          </rPr>
          <t xml:space="preserve">
</t>
        </r>
        <r>
          <rPr>
            <b/>
            <sz val="9"/>
            <rFont val="Tahoma"/>
            <charset val="134"/>
          </rPr>
          <t>- Duty CCM duty cycle for the step up ratio is greater then the duty cycle limit of the LM34x8. For high step-up ratio designs the regulator can be configured to operate in discontinous conduction mode (DCM) to achieve the step up ratio.</t>
        </r>
      </text>
    </comment>
    <comment ref="G19" authorId="0">
      <text>
        <r>
          <rPr>
            <b/>
            <sz val="9"/>
            <rFont val="Tahoma"/>
            <charset val="134"/>
          </rPr>
          <t>CCM-DCM:</t>
        </r>
        <r>
          <rPr>
            <sz val="9"/>
            <rFont val="Tahoma"/>
            <charset val="134"/>
          </rPr>
          <t xml:space="preserve">
CCM = Continous Conduction Mode
DCM  = Discontinous Conduction Mode</t>
        </r>
      </text>
    </comment>
    <comment ref="G20" authorId="0">
      <text>
        <r>
          <rPr>
            <b/>
            <sz val="9"/>
            <rFont val="Tahoma"/>
            <charset val="134"/>
          </rPr>
          <t>Ripple Ratio</t>
        </r>
        <r>
          <rPr>
            <sz val="9"/>
            <rFont val="Tahoma"/>
            <charset val="134"/>
          </rPr>
          <t xml:space="preserve">
Select the maximum ripple ratio of the inductor current. The maximum ripple ratio occurs when the duty cycle is 33%. 
Typically a good maximum ripple current is in the 50% to 70% range. In this range there is a good trade off between efficiency and the minimum RHP zero frequency of the plant
If cell H19 is equal to 1, this input cell is not condsidered as DCM operation is required to achieve the desired ste-up ratio. For the case the maximum duty cycyle is set to be 70%.</t>
        </r>
      </text>
    </comment>
    <comment ref="G22" authorId="0">
      <text>
        <r>
          <rPr>
            <b/>
            <sz val="9"/>
            <rFont val="Tahoma"/>
            <charset val="134"/>
          </rPr>
          <t xml:space="preserve">Filter Inductance:
</t>
        </r>
        <r>
          <rPr>
            <sz val="9"/>
            <rFont val="Tahoma"/>
            <charset val="134"/>
          </rPr>
          <t xml:space="preserve">Enter the filter inductance here.
</t>
        </r>
      </text>
    </comment>
    <comment ref="G23" authorId="0">
      <text>
        <r>
          <rPr>
            <b/>
            <sz val="9"/>
            <rFont val="Tahoma"/>
            <charset val="134"/>
          </rPr>
          <t>Peak Inductor Current</t>
        </r>
        <r>
          <rPr>
            <sz val="9"/>
            <rFont val="Tahoma"/>
            <charset val="134"/>
          </rPr>
          <t xml:space="preserve">
Maximum peak inductor current during normal operation.  The peak current limit calculations are based on this value</t>
        </r>
      </text>
    </comment>
    <comment ref="G26" authorId="0">
      <text>
        <r>
          <rPr>
            <b/>
            <sz val="9"/>
            <rFont val="Tahoma"/>
            <charset val="134"/>
          </rPr>
          <t>Peak Current Limit Margin</t>
        </r>
        <r>
          <rPr>
            <sz val="9"/>
            <rFont val="Tahoma"/>
            <charset val="134"/>
          </rPr>
          <t xml:space="preserve">
Minimum value is 15%
Margin above the calculated peak inductor current. Margin must be given to allow for load transients and component tolerances.</t>
        </r>
      </text>
    </comment>
    <comment ref="G27" authorId="0">
      <text>
        <r>
          <rPr>
            <b/>
            <sz val="9"/>
            <rFont val="Tahoma"/>
            <charset val="134"/>
          </rPr>
          <t xml:space="preserve">Selected Peak Inductor Current Limt
</t>
        </r>
        <r>
          <rPr>
            <sz val="9"/>
            <rFont val="Tahoma"/>
            <charset val="134"/>
          </rPr>
          <t xml:space="preserve">
Peak inductor current limit based on the margin and the steady state peak inductor current at V</t>
        </r>
        <r>
          <rPr>
            <vertAlign val="subscript"/>
            <sz val="9"/>
            <rFont val="Tahoma"/>
            <charset val="134"/>
          </rPr>
          <t>IN_MIN</t>
        </r>
        <r>
          <rPr>
            <sz val="9"/>
            <rFont val="Tahoma"/>
            <charset val="134"/>
          </rPr>
          <t xml:space="preserve"> and maximum output current</t>
        </r>
      </text>
    </comment>
    <comment ref="G28" authorId="0">
      <text>
        <r>
          <rPr>
            <b/>
            <sz val="9"/>
            <rFont val="Tahoma"/>
            <charset val="134"/>
          </rPr>
          <t>Current Sense Resistor Calculation</t>
        </r>
        <r>
          <rPr>
            <sz val="9"/>
            <rFont val="Tahoma"/>
            <charset val="134"/>
          </rPr>
          <t xml:space="preserve">
Calculated current sense resistor based on the desired maximum peak current limit. 
</t>
        </r>
      </text>
    </comment>
    <comment ref="G40" authorId="0">
      <text>
        <r>
          <rPr>
            <sz val="11"/>
            <rFont val="Tahoma"/>
            <charset val="134"/>
          </rPr>
          <t>This is the desired load transient output voltage dip for the a 50% to 100% load step on the output.</t>
        </r>
        <r>
          <rPr>
            <sz val="9"/>
            <rFont val="Tahoma"/>
            <charset val="134"/>
          </rPr>
          <t xml:space="preserve">
</t>
        </r>
      </text>
    </comment>
    <comment ref="G59" authorId="0">
      <text>
        <r>
          <rPr>
            <b/>
            <sz val="9"/>
            <rFont val="Tahoma"/>
            <charset val="134"/>
          </rPr>
          <t xml:space="preserve">Changes the input voltage value. Allow for evaluation of the control loop ane efficiency at different input voltages.
</t>
        </r>
        <r>
          <rPr>
            <b/>
            <sz val="9"/>
            <color indexed="10"/>
            <rFont val="Tahoma"/>
            <charset val="134"/>
          </rPr>
          <t>The text in the cell is flagged red if:
-The variable input voltage is less than the minimum input voltage
-The variable input voltage is greater than the maximum input voltage</t>
        </r>
      </text>
    </comment>
  </commentList>
</comments>
</file>

<file path=xl/comments2.xml><?xml version="1.0" encoding="utf-8"?>
<comments xmlns="http://schemas.openxmlformats.org/spreadsheetml/2006/main">
  <authors>
    <author>BMC-BCS</author>
  </authors>
  <commentList>
    <comment ref="B21" authorId="0">
      <text>
        <r>
          <rPr>
            <b/>
            <sz val="9"/>
            <rFont val="Tahoma"/>
            <charset val="134"/>
          </rPr>
          <t xml:space="preserve">Forced off time limit? 
[1 True, 0 False]
Just comparing the maximum duty cycle of the IC and the ideal duty cycle of the step up ratio
</t>
        </r>
        <r>
          <rPr>
            <sz val="9"/>
            <rFont val="Tahoma"/>
            <charset val="134"/>
          </rPr>
          <t xml:space="preserve">
</t>
        </r>
      </text>
    </comment>
    <comment ref="K121" authorId="0">
      <text>
        <r>
          <rPr>
            <b/>
            <sz val="9"/>
            <rFont val="Tahoma"/>
            <charset val="134"/>
          </rPr>
          <t xml:space="preserve">Slope Compensation flag. If this flag is tripped there is not enough slope compensation. Double check the calculated values. 
</t>
        </r>
        <r>
          <rPr>
            <sz val="9"/>
            <rFont val="Tahoma"/>
            <charset val="134"/>
          </rPr>
          <t xml:space="preserve">
</t>
        </r>
      </text>
    </comment>
    <comment ref="K122" authorId="0">
      <text>
        <r>
          <rPr>
            <sz val="9"/>
            <rFont val="Tahoma"/>
            <charset val="134"/>
          </rPr>
          <t xml:space="preserve">Tripped if the current sense resistor results in a lower current limit
</t>
        </r>
      </text>
    </comment>
  </commentList>
</comments>
</file>

<file path=xl/comments3.xml><?xml version="1.0" encoding="utf-8"?>
<comments xmlns="http://schemas.openxmlformats.org/spreadsheetml/2006/main">
  <authors>
    <author>BMC-BCS</author>
  </authors>
  <commentList>
    <comment ref="V6" authorId="0">
      <text>
        <r>
          <rPr>
            <b/>
            <sz val="9"/>
            <rFont val="Tahoma"/>
            <charset val="134"/>
          </rPr>
          <t xml:space="preserve">1 = DCM operation
2 = CCM operation
</t>
        </r>
      </text>
    </comment>
    <comment ref="AG6" authorId="0">
      <text>
        <r>
          <rPr>
            <b/>
            <sz val="9"/>
            <rFont val="Tahoma"/>
            <charset val="134"/>
          </rPr>
          <t>BMC-BCS:</t>
        </r>
        <r>
          <rPr>
            <sz val="9"/>
            <rFont val="Tahoma"/>
            <charset val="134"/>
          </rPr>
          <t xml:space="preserve">
Estimating uisng Average current. Needs to be updated for RMS current
</t>
        </r>
      </text>
    </comment>
    <comment ref="AK6" authorId="0">
      <text>
        <r>
          <rPr>
            <b/>
            <sz val="9"/>
            <rFont val="Tahoma"/>
            <charset val="134"/>
          </rPr>
          <t>BMC-BCS:</t>
        </r>
        <r>
          <rPr>
            <sz val="9"/>
            <rFont val="Tahoma"/>
            <charset val="134"/>
          </rPr>
          <t xml:space="preserve">
Written for boost. Needs to be updated but no big rush
</t>
        </r>
      </text>
    </comment>
  </commentList>
</comments>
</file>

<file path=xl/comments4.xml><?xml version="1.0" encoding="utf-8"?>
<comments xmlns="http://schemas.openxmlformats.org/spreadsheetml/2006/main">
  <authors>
    <author>BMC-BCS</author>
  </authors>
  <commentList>
    <comment ref="O18" authorId="0">
      <text>
        <r>
          <rPr>
            <b/>
            <sz val="9"/>
            <rFont val="Tahoma"/>
            <charset val="134"/>
          </rPr>
          <t>BMC-BCS:</t>
        </r>
        <r>
          <rPr>
            <sz val="9"/>
            <rFont val="Tahoma"/>
            <charset val="134"/>
          </rPr>
          <t xml:space="preserve">
Need to make this log not linear at some point
</t>
        </r>
      </text>
    </comment>
  </commentList>
</comments>
</file>

<file path=xl/sharedStrings.xml><?xml version="1.0" encoding="utf-8"?>
<sst xmlns="http://schemas.openxmlformats.org/spreadsheetml/2006/main" count="983" uniqueCount="574">
  <si>
    <t>LM3478-88 DC/DC Coupled Inductor SEPIC Controller Design Tool</t>
  </si>
  <si>
    <t>ABOUT</t>
  </si>
  <si>
    <t>=Input Box</t>
  </si>
  <si>
    <t>TERMS OF USE</t>
  </si>
  <si>
    <t>October-2024</t>
  </si>
  <si>
    <t>Step 1: Design Specifications</t>
  </si>
  <si>
    <r>
      <rPr>
        <sz val="10"/>
        <color theme="1"/>
        <rFont val="Calibri"/>
        <charset val="134"/>
        <scheme val="minor"/>
      </rPr>
      <t>Minimum Input Supply Voltage , V</t>
    </r>
    <r>
      <rPr>
        <vertAlign val="subscript"/>
        <sz val="10"/>
        <color theme="1"/>
        <rFont val="Calibri"/>
        <charset val="134"/>
        <scheme val="minor"/>
      </rPr>
      <t>SUPPLY(min)</t>
    </r>
    <r>
      <rPr>
        <sz val="10"/>
        <color theme="1"/>
        <rFont val="Calibri"/>
        <charset val="134"/>
        <scheme val="minor"/>
      </rPr>
      <t xml:space="preserve"> </t>
    </r>
  </si>
  <si>
    <t>V</t>
  </si>
  <si>
    <r>
      <rPr>
        <sz val="10"/>
        <color theme="1"/>
        <rFont val="Calibri"/>
        <charset val="134"/>
        <scheme val="minor"/>
      </rPr>
      <t>Typical Input Supply Voltage, V</t>
    </r>
    <r>
      <rPr>
        <vertAlign val="subscript"/>
        <sz val="10"/>
        <color theme="1"/>
        <rFont val="Calibri"/>
        <charset val="134"/>
        <scheme val="minor"/>
      </rPr>
      <t>SUPPLY(typ)</t>
    </r>
    <r>
      <rPr>
        <sz val="10"/>
        <color theme="1"/>
        <rFont val="Calibri"/>
        <charset val="134"/>
        <scheme val="minor"/>
      </rPr>
      <t xml:space="preserve"> </t>
    </r>
  </si>
  <si>
    <r>
      <rPr>
        <sz val="10"/>
        <color theme="1"/>
        <rFont val="Calibri"/>
        <charset val="134"/>
        <scheme val="minor"/>
      </rPr>
      <t>Maximum Input Supply Voltage , V</t>
    </r>
    <r>
      <rPr>
        <vertAlign val="subscript"/>
        <sz val="10"/>
        <color theme="1"/>
        <rFont val="Calibri"/>
        <charset val="134"/>
        <scheme val="minor"/>
      </rPr>
      <t>SUPPLY(max)</t>
    </r>
    <r>
      <rPr>
        <sz val="10"/>
        <color theme="1"/>
        <rFont val="Calibri"/>
        <charset val="134"/>
        <scheme val="minor"/>
      </rPr>
      <t xml:space="preserve"> </t>
    </r>
  </si>
  <si>
    <r>
      <rPr>
        <sz val="10"/>
        <color theme="1"/>
        <rFont val="Calibri"/>
        <charset val="134"/>
        <scheme val="minor"/>
      </rPr>
      <t>Output Target Voltage, V</t>
    </r>
    <r>
      <rPr>
        <vertAlign val="subscript"/>
        <sz val="10"/>
        <color theme="1"/>
        <rFont val="Calibri"/>
        <charset val="134"/>
        <scheme val="minor"/>
      </rPr>
      <t>LOAD</t>
    </r>
    <r>
      <rPr>
        <sz val="10"/>
        <color theme="1"/>
        <rFont val="Calibri"/>
        <charset val="134"/>
        <scheme val="minor"/>
      </rPr>
      <t xml:space="preserve"> </t>
    </r>
  </si>
  <si>
    <r>
      <rPr>
        <sz val="10"/>
        <color theme="1"/>
        <rFont val="Calibri"/>
        <charset val="134"/>
        <scheme val="minor"/>
      </rPr>
      <t>Maximum Output Current , I</t>
    </r>
    <r>
      <rPr>
        <vertAlign val="subscript"/>
        <sz val="10"/>
        <color theme="1"/>
        <rFont val="Calibri"/>
        <charset val="134"/>
        <scheme val="minor"/>
      </rPr>
      <t>LOAD</t>
    </r>
    <r>
      <rPr>
        <sz val="10"/>
        <color theme="1"/>
        <rFont val="Calibri"/>
        <charset val="134"/>
        <scheme val="minor"/>
      </rPr>
      <t xml:space="preserve"> </t>
    </r>
  </si>
  <si>
    <t>A</t>
  </si>
  <si>
    <r>
      <rPr>
        <sz val="10"/>
        <color theme="1"/>
        <rFont val="Calibri"/>
        <charset val="134"/>
        <scheme val="minor"/>
      </rPr>
      <t>Free Running Switching Frequency, F</t>
    </r>
    <r>
      <rPr>
        <vertAlign val="subscript"/>
        <sz val="10"/>
        <color theme="1"/>
        <rFont val="Calibri"/>
        <charset val="134"/>
        <scheme val="minor"/>
      </rPr>
      <t>SW</t>
    </r>
  </si>
  <si>
    <t>kHz</t>
  </si>
  <si>
    <r>
      <rPr>
        <sz val="10"/>
        <color theme="1"/>
        <rFont val="Calibri"/>
        <charset val="134"/>
        <scheme val="minor"/>
      </rPr>
      <t>Free running Oscillator Set Resistor, R</t>
    </r>
    <r>
      <rPr>
        <vertAlign val="subscript"/>
        <sz val="10"/>
        <color theme="1"/>
        <rFont val="Calibri"/>
        <charset val="134"/>
        <scheme val="minor"/>
      </rPr>
      <t>T</t>
    </r>
  </si>
  <si>
    <r>
      <rPr>
        <sz val="11"/>
        <color theme="1"/>
        <rFont val="Calibri"/>
        <charset val="134"/>
        <scheme val="minor"/>
      </rPr>
      <t>k</t>
    </r>
    <r>
      <rPr>
        <sz val="11"/>
        <color theme="1"/>
        <rFont val="Calibri"/>
        <charset val="134"/>
      </rPr>
      <t>Ω</t>
    </r>
  </si>
  <si>
    <r>
      <rPr>
        <sz val="10"/>
        <color theme="1"/>
        <rFont val="Calibri"/>
        <charset val="134"/>
        <scheme val="minor"/>
      </rPr>
      <t>Output Power, P</t>
    </r>
    <r>
      <rPr>
        <vertAlign val="subscript"/>
        <sz val="10"/>
        <color theme="1"/>
        <rFont val="Calibri"/>
        <charset val="134"/>
        <scheme val="minor"/>
      </rPr>
      <t>OUT</t>
    </r>
    <r>
      <rPr>
        <sz val="10"/>
        <color theme="1"/>
        <rFont val="Calibri"/>
        <charset val="134"/>
        <scheme val="minor"/>
      </rPr>
      <t xml:space="preserve"> </t>
    </r>
  </si>
  <si>
    <t>W</t>
  </si>
  <si>
    <r>
      <rPr>
        <sz val="10"/>
        <color theme="1"/>
        <rFont val="Calibri"/>
        <charset val="134"/>
        <scheme val="minor"/>
      </rPr>
      <t>Recommended maximum duty cycle LM3478-88 at V</t>
    </r>
    <r>
      <rPr>
        <vertAlign val="subscript"/>
        <sz val="10"/>
        <color theme="1"/>
        <rFont val="Calibri"/>
        <charset val="134"/>
        <scheme val="minor"/>
      </rPr>
      <t>SUPPLY(MIN)</t>
    </r>
  </si>
  <si>
    <t>%</t>
  </si>
  <si>
    <r>
      <rPr>
        <sz val="10"/>
        <color theme="1"/>
        <rFont val="Calibri"/>
        <charset val="134"/>
        <scheme val="minor"/>
      </rPr>
      <t>Ideal Duty Cycle at V</t>
    </r>
    <r>
      <rPr>
        <vertAlign val="subscript"/>
        <sz val="10"/>
        <color theme="1"/>
        <rFont val="Calibri"/>
        <charset val="134"/>
        <scheme val="minor"/>
      </rPr>
      <t xml:space="preserve">SUPPLY(MIN) </t>
    </r>
  </si>
  <si>
    <t>Step 2: Filter Inductor</t>
  </si>
  <si>
    <t>Required Mode of Operation:</t>
  </si>
  <si>
    <r>
      <rPr>
        <sz val="10"/>
        <color theme="1"/>
        <rFont val="Calibri"/>
        <charset val="134"/>
        <scheme val="minor"/>
      </rPr>
      <t>Desired Maximum Inductor Current Ripple Ratio (I</t>
    </r>
    <r>
      <rPr>
        <vertAlign val="subscript"/>
        <sz val="10"/>
        <color theme="1"/>
        <rFont val="Calibri"/>
        <charset val="134"/>
        <scheme val="minor"/>
      </rPr>
      <t>RR_MAX</t>
    </r>
    <r>
      <rPr>
        <sz val="10"/>
        <color theme="1"/>
        <rFont val="Calibri"/>
        <charset val="134"/>
        <scheme val="minor"/>
      </rPr>
      <t>)</t>
    </r>
  </si>
  <si>
    <r>
      <rPr>
        <sz val="10"/>
        <color theme="1"/>
        <rFont val="Calibri"/>
        <charset val="134"/>
        <scheme val="minor"/>
      </rPr>
      <t>Recommended Inductance (L</t>
    </r>
    <r>
      <rPr>
        <vertAlign val="subscript"/>
        <sz val="10"/>
        <color theme="1"/>
        <rFont val="Calibri"/>
        <charset val="134"/>
        <scheme val="minor"/>
      </rPr>
      <t>M_CALC</t>
    </r>
    <r>
      <rPr>
        <sz val="10"/>
        <color theme="1"/>
        <rFont val="Calibri"/>
        <charset val="134"/>
        <scheme val="minor"/>
      </rPr>
      <t>)</t>
    </r>
  </si>
  <si>
    <t>uH</t>
  </si>
  <si>
    <r>
      <rPr>
        <sz val="10"/>
        <color theme="1"/>
        <rFont val="Calibri"/>
        <charset val="134"/>
        <scheme val="minor"/>
      </rPr>
      <t>User Selection. Inductance, (L</t>
    </r>
    <r>
      <rPr>
        <vertAlign val="subscript"/>
        <sz val="10"/>
        <color theme="1"/>
        <rFont val="Calibri"/>
        <charset val="134"/>
        <scheme val="minor"/>
      </rPr>
      <t>M</t>
    </r>
    <r>
      <rPr>
        <sz val="10"/>
        <color theme="1"/>
        <rFont val="Calibri"/>
        <charset val="134"/>
        <scheme val="minor"/>
      </rPr>
      <t>)</t>
    </r>
  </si>
  <si>
    <r>
      <rPr>
        <sz val="10"/>
        <color theme="1"/>
        <rFont val="Calibri"/>
        <charset val="134"/>
        <scheme val="minor"/>
      </rPr>
      <t>Peak inductor current, IL</t>
    </r>
    <r>
      <rPr>
        <vertAlign val="subscript"/>
        <sz val="10"/>
        <color theme="1"/>
        <rFont val="Calibri"/>
        <charset val="134"/>
        <scheme val="minor"/>
      </rPr>
      <t>PK</t>
    </r>
  </si>
  <si>
    <t>Step 3: Current Sense Resistor Selection</t>
  </si>
  <si>
    <t>Peak Current Limit Margin</t>
  </si>
  <si>
    <r>
      <rPr>
        <sz val="11"/>
        <color theme="1"/>
        <rFont val="Calibri"/>
        <charset val="134"/>
        <scheme val="minor"/>
      </rPr>
      <t>Selected Peak Current limit (IL</t>
    </r>
    <r>
      <rPr>
        <vertAlign val="subscript"/>
        <sz val="11"/>
        <color theme="1"/>
        <rFont val="Calibri"/>
        <charset val="134"/>
        <scheme val="minor"/>
      </rPr>
      <t>SW_select</t>
    </r>
    <r>
      <rPr>
        <sz val="11"/>
        <color theme="1"/>
        <rFont val="Calibri"/>
        <charset val="134"/>
        <scheme val="minor"/>
      </rPr>
      <t>)</t>
    </r>
  </si>
  <si>
    <r>
      <rPr>
        <sz val="11"/>
        <color theme="1"/>
        <rFont val="Calibri"/>
        <charset val="134"/>
        <scheme val="minor"/>
      </rPr>
      <t>Recommended current sense Resistor (R</t>
    </r>
    <r>
      <rPr>
        <vertAlign val="subscript"/>
        <sz val="11"/>
        <color theme="1"/>
        <rFont val="Calibri"/>
        <charset val="134"/>
        <scheme val="minor"/>
      </rPr>
      <t>S</t>
    </r>
    <r>
      <rPr>
        <sz val="11"/>
        <color theme="1"/>
        <rFont val="Calibri"/>
        <charset val="134"/>
        <scheme val="minor"/>
      </rPr>
      <t>)</t>
    </r>
  </si>
  <si>
    <r>
      <rPr>
        <sz val="11"/>
        <color theme="1"/>
        <rFont val="Calibri"/>
        <charset val="134"/>
        <scheme val="minor"/>
      </rPr>
      <t>m</t>
    </r>
    <r>
      <rPr>
        <sz val="11"/>
        <color theme="1"/>
        <rFont val="Calibri"/>
        <charset val="134"/>
      </rPr>
      <t>Ω</t>
    </r>
  </si>
  <si>
    <r>
      <rPr>
        <sz val="11"/>
        <color theme="1"/>
        <rFont val="Calibri"/>
        <charset val="134"/>
        <scheme val="minor"/>
      </rPr>
      <t>Recommended external slope compensation Resistor (R</t>
    </r>
    <r>
      <rPr>
        <vertAlign val="subscript"/>
        <sz val="11"/>
        <color theme="1"/>
        <rFont val="Calibri"/>
        <charset val="134"/>
        <scheme val="minor"/>
      </rPr>
      <t>SL</t>
    </r>
    <r>
      <rPr>
        <sz val="11"/>
        <color theme="1"/>
        <rFont val="Calibri"/>
        <charset val="134"/>
        <scheme val="minor"/>
      </rPr>
      <t>)</t>
    </r>
  </si>
  <si>
    <t>Ω</t>
  </si>
  <si>
    <r>
      <rPr>
        <sz val="11"/>
        <color theme="1"/>
        <rFont val="Calibri"/>
        <charset val="134"/>
        <scheme val="minor"/>
      </rPr>
      <t>Selected current sense Resistor (R</t>
    </r>
    <r>
      <rPr>
        <vertAlign val="subscript"/>
        <sz val="11"/>
        <color theme="1"/>
        <rFont val="Calibri"/>
        <charset val="134"/>
        <scheme val="minor"/>
      </rPr>
      <t>S</t>
    </r>
    <r>
      <rPr>
        <sz val="11"/>
        <color theme="1"/>
        <rFont val="Calibri"/>
        <charset val="134"/>
        <scheme val="minor"/>
      </rPr>
      <t>)</t>
    </r>
  </si>
  <si>
    <r>
      <rPr>
        <sz val="11"/>
        <color theme="1"/>
        <rFont val="Calibri"/>
        <charset val="134"/>
        <scheme val="minor"/>
      </rPr>
      <t>Selected external slope compensation Resistor (R</t>
    </r>
    <r>
      <rPr>
        <vertAlign val="subscript"/>
        <sz val="11"/>
        <color theme="1"/>
        <rFont val="Calibri"/>
        <charset val="134"/>
        <scheme val="minor"/>
      </rPr>
      <t>SL</t>
    </r>
    <r>
      <rPr>
        <sz val="11"/>
        <color theme="1"/>
        <rFont val="Calibri"/>
        <charset val="134"/>
        <scheme val="minor"/>
      </rPr>
      <t>)</t>
    </r>
  </si>
  <si>
    <t>Actual switch peak current limit</t>
  </si>
  <si>
    <r>
      <rPr>
        <b/>
        <sz val="11"/>
        <color rgb="FF0070C0"/>
        <rFont val="Calibri"/>
        <charset val="134"/>
        <scheme val="minor"/>
      </rPr>
      <t>Step 4: C</t>
    </r>
    <r>
      <rPr>
        <b/>
        <vertAlign val="subscript"/>
        <sz val="11"/>
        <color rgb="FF0070C0"/>
        <rFont val="Calibri"/>
        <charset val="134"/>
        <scheme val="minor"/>
      </rPr>
      <t>AC</t>
    </r>
    <r>
      <rPr>
        <b/>
        <sz val="11"/>
        <color rgb="FF0070C0"/>
        <rFont val="Calibri"/>
        <charset val="134"/>
        <scheme val="minor"/>
      </rPr>
      <t xml:space="preserve"> Capacitor Selection</t>
    </r>
  </si>
  <si>
    <r>
      <rPr>
        <sz val="11"/>
        <color theme="1"/>
        <rFont val="Calibri"/>
        <charset val="134"/>
        <scheme val="minor"/>
      </rPr>
      <t>Minimum couplpling capacitor value (C</t>
    </r>
    <r>
      <rPr>
        <vertAlign val="subscript"/>
        <sz val="11"/>
        <color theme="1"/>
        <rFont val="Calibri"/>
        <charset val="134"/>
        <scheme val="minor"/>
      </rPr>
      <t>AC_min</t>
    </r>
    <r>
      <rPr>
        <sz val="11"/>
        <color theme="1"/>
        <rFont val="Calibri"/>
        <charset val="134"/>
        <scheme val="minor"/>
      </rPr>
      <t>)</t>
    </r>
  </si>
  <si>
    <t>uF</t>
  </si>
  <si>
    <r>
      <rPr>
        <sz val="11"/>
        <color theme="1"/>
        <rFont val="Calibri"/>
        <charset val="134"/>
        <scheme val="minor"/>
      </rPr>
      <t>Selected Coupling Capacitor (C</t>
    </r>
    <r>
      <rPr>
        <vertAlign val="subscript"/>
        <sz val="11"/>
        <color theme="1"/>
        <rFont val="Calibri"/>
        <charset val="134"/>
        <scheme val="minor"/>
      </rPr>
      <t>AC</t>
    </r>
    <r>
      <rPr>
        <sz val="11"/>
        <color theme="1"/>
        <rFont val="Calibri"/>
        <charset val="134"/>
        <scheme val="minor"/>
      </rPr>
      <t>)</t>
    </r>
  </si>
  <si>
    <r>
      <rPr>
        <sz val="11"/>
        <color theme="1"/>
        <rFont val="Calibri"/>
        <charset val="134"/>
        <scheme val="minor"/>
      </rPr>
      <t>Minimuum require C</t>
    </r>
    <r>
      <rPr>
        <vertAlign val="subscript"/>
        <sz val="11"/>
        <color theme="1"/>
        <rFont val="Calibri"/>
        <charset val="134"/>
        <scheme val="minor"/>
      </rPr>
      <t>AC</t>
    </r>
    <r>
      <rPr>
        <sz val="11"/>
        <color theme="1"/>
        <rFont val="Calibri"/>
        <charset val="134"/>
        <scheme val="minor"/>
      </rPr>
      <t xml:space="preserve"> RMS current Rating</t>
    </r>
  </si>
  <si>
    <t>Step 5: Output Capacitor Selection</t>
  </si>
  <si>
    <r>
      <rPr>
        <sz val="11"/>
        <color theme="1"/>
        <rFont val="Calibri"/>
        <charset val="134"/>
        <scheme val="minor"/>
      </rPr>
      <t>Desired load step ripple voltage (</t>
    </r>
    <r>
      <rPr>
        <sz val="11"/>
        <color theme="1"/>
        <rFont val="Calibri"/>
        <charset val="134"/>
      </rPr>
      <t>Δv</t>
    </r>
    <r>
      <rPr>
        <vertAlign val="subscript"/>
        <sz val="11"/>
        <color theme="1"/>
        <rFont val="Calibri"/>
        <charset val="134"/>
      </rPr>
      <t>OUT</t>
    </r>
    <r>
      <rPr>
        <sz val="11"/>
        <color theme="1"/>
        <rFont val="Calibri"/>
        <charset val="134"/>
      </rPr>
      <t>)</t>
    </r>
  </si>
  <si>
    <t>mV</t>
  </si>
  <si>
    <t xml:space="preserve">Minimum output capacitance </t>
  </si>
  <si>
    <r>
      <rPr>
        <sz val="11"/>
        <color theme="1"/>
        <rFont val="Calibri"/>
        <charset val="134"/>
        <scheme val="minor"/>
      </rPr>
      <t>Capacitor RMS current (I</t>
    </r>
    <r>
      <rPr>
        <vertAlign val="subscript"/>
        <sz val="11"/>
        <color theme="1"/>
        <rFont val="Calibri"/>
        <charset val="134"/>
        <scheme val="minor"/>
      </rPr>
      <t>RMS_COUT</t>
    </r>
    <r>
      <rPr>
        <sz val="11"/>
        <color theme="1"/>
        <rFont val="Calibri"/>
        <charset val="134"/>
        <scheme val="minor"/>
      </rPr>
      <t>)</t>
    </r>
  </si>
  <si>
    <r>
      <rPr>
        <sz val="11"/>
        <color theme="1"/>
        <rFont val="Calibri"/>
        <charset val="134"/>
        <scheme val="minor"/>
      </rPr>
      <t>Selected Output Capacitance (C</t>
    </r>
    <r>
      <rPr>
        <vertAlign val="subscript"/>
        <sz val="11"/>
        <color theme="1"/>
        <rFont val="Calibri"/>
        <charset val="134"/>
        <scheme val="minor"/>
      </rPr>
      <t>OUT</t>
    </r>
    <r>
      <rPr>
        <sz val="11"/>
        <color theme="1"/>
        <rFont val="Calibri"/>
        <charset val="134"/>
        <scheme val="minor"/>
      </rPr>
      <t>)</t>
    </r>
  </si>
  <si>
    <r>
      <rPr>
        <sz val="11"/>
        <color theme="1"/>
        <rFont val="Calibri"/>
        <charset val="134"/>
        <scheme val="minor"/>
      </rPr>
      <t>Equivalent  COUT ESR (R</t>
    </r>
    <r>
      <rPr>
        <vertAlign val="subscript"/>
        <sz val="11"/>
        <color theme="1"/>
        <rFont val="Calibri"/>
        <charset val="134"/>
        <scheme val="minor"/>
      </rPr>
      <t>ESR</t>
    </r>
    <r>
      <rPr>
        <sz val="11"/>
        <color theme="1"/>
        <rFont val="Calibri"/>
        <charset val="134"/>
        <scheme val="minor"/>
      </rPr>
      <t>)</t>
    </r>
  </si>
  <si>
    <t>Step  6: Loop Compensation</t>
  </si>
  <si>
    <r>
      <rPr>
        <sz val="11"/>
        <rFont val="Calibri"/>
        <charset val="134"/>
        <scheme val="minor"/>
      </rPr>
      <t>Voltage selected (V</t>
    </r>
    <r>
      <rPr>
        <vertAlign val="subscript"/>
        <sz val="11"/>
        <rFont val="Calibri"/>
        <charset val="134"/>
        <scheme val="minor"/>
      </rPr>
      <t>IN_VAR</t>
    </r>
    <r>
      <rPr>
        <sz val="11"/>
        <rFont val="Calibri"/>
        <charset val="134"/>
        <scheme val="minor"/>
      </rPr>
      <t>)</t>
    </r>
  </si>
  <si>
    <t>Feedback Resistor Selection</t>
  </si>
  <si>
    <r>
      <rPr>
        <sz val="11"/>
        <color theme="1"/>
        <rFont val="Calibri"/>
        <charset val="134"/>
        <scheme val="minor"/>
      </rPr>
      <t>Select a top feedback resistor(R</t>
    </r>
    <r>
      <rPr>
        <vertAlign val="subscript"/>
        <sz val="11"/>
        <color theme="1"/>
        <rFont val="Calibri"/>
        <charset val="134"/>
        <scheme val="minor"/>
      </rPr>
      <t>FBT</t>
    </r>
    <r>
      <rPr>
        <sz val="11"/>
        <color theme="1"/>
        <rFont val="Calibri"/>
        <charset val="134"/>
        <scheme val="minor"/>
      </rPr>
      <t>)</t>
    </r>
  </si>
  <si>
    <t>kΩ</t>
  </si>
  <si>
    <r>
      <rPr>
        <sz val="11"/>
        <color theme="1"/>
        <rFont val="Calibri"/>
        <charset val="134"/>
        <scheme val="minor"/>
      </rPr>
      <t>Calculated bottom feedback resistor (R</t>
    </r>
    <r>
      <rPr>
        <vertAlign val="subscript"/>
        <sz val="11"/>
        <color theme="1"/>
        <rFont val="Calibri"/>
        <charset val="134"/>
        <scheme val="minor"/>
      </rPr>
      <t>FBB_cala</t>
    </r>
    <r>
      <rPr>
        <sz val="11"/>
        <color theme="1"/>
        <rFont val="Calibri"/>
        <charset val="134"/>
        <scheme val="minor"/>
      </rPr>
      <t>)</t>
    </r>
  </si>
  <si>
    <r>
      <rPr>
        <sz val="11"/>
        <color theme="1"/>
        <rFont val="Calibri"/>
        <charset val="134"/>
        <scheme val="minor"/>
      </rPr>
      <t>Select a bottomresistor based on calculated balue(R</t>
    </r>
    <r>
      <rPr>
        <vertAlign val="subscript"/>
        <sz val="11"/>
        <color theme="1"/>
        <rFont val="Calibri"/>
        <charset val="134"/>
        <scheme val="minor"/>
      </rPr>
      <t>FBB</t>
    </r>
    <r>
      <rPr>
        <sz val="11"/>
        <color theme="1"/>
        <rFont val="Calibri"/>
        <charset val="134"/>
        <scheme val="minor"/>
      </rPr>
      <t>)</t>
    </r>
  </si>
  <si>
    <t>Suggested bandwidth</t>
  </si>
  <si>
    <r>
      <rPr>
        <sz val="11"/>
        <color theme="1"/>
        <rFont val="Calibri"/>
        <charset val="134"/>
        <scheme val="minor"/>
      </rPr>
      <t>Selected band width (F</t>
    </r>
    <r>
      <rPr>
        <vertAlign val="subscript"/>
        <sz val="11"/>
        <color theme="1"/>
        <rFont val="Calibri"/>
        <charset val="134"/>
        <scheme val="minor"/>
      </rPr>
      <t>CO</t>
    </r>
    <r>
      <rPr>
        <sz val="11"/>
        <color theme="1"/>
        <rFont val="Calibri"/>
        <charset val="134"/>
        <scheme val="minor"/>
      </rPr>
      <t>)</t>
    </r>
  </si>
  <si>
    <t>Calculated</t>
  </si>
  <si>
    <t>Selected</t>
  </si>
  <si>
    <r>
      <rPr>
        <sz val="11"/>
        <color theme="1"/>
        <rFont val="Calibri"/>
        <charset val="134"/>
        <scheme val="minor"/>
      </rPr>
      <t>R</t>
    </r>
    <r>
      <rPr>
        <vertAlign val="subscript"/>
        <sz val="11"/>
        <color theme="1"/>
        <rFont val="Calibri"/>
        <charset val="134"/>
        <scheme val="minor"/>
      </rPr>
      <t>COMP</t>
    </r>
  </si>
  <si>
    <r>
      <rPr>
        <sz val="11"/>
        <color theme="1"/>
        <rFont val="Calibri"/>
        <charset val="134"/>
        <scheme val="minor"/>
      </rPr>
      <t>C</t>
    </r>
    <r>
      <rPr>
        <vertAlign val="subscript"/>
        <sz val="11"/>
        <color theme="1"/>
        <rFont val="Calibri"/>
        <charset val="134"/>
        <scheme val="minor"/>
      </rPr>
      <t>COMP</t>
    </r>
  </si>
  <si>
    <t>nF</t>
  </si>
  <si>
    <r>
      <rPr>
        <sz val="11"/>
        <color theme="1"/>
        <rFont val="Calibri"/>
        <charset val="134"/>
        <scheme val="minor"/>
      </rPr>
      <t>C</t>
    </r>
    <r>
      <rPr>
        <vertAlign val="subscript"/>
        <sz val="11"/>
        <color theme="1"/>
        <rFont val="Calibri"/>
        <charset val="134"/>
        <scheme val="minor"/>
      </rPr>
      <t>HF</t>
    </r>
  </si>
  <si>
    <t>pF</t>
  </si>
  <si>
    <t>Efficiency / Power Loss Analyzer</t>
  </si>
  <si>
    <t>MOSFET parameters</t>
  </si>
  <si>
    <r>
      <rPr>
        <sz val="10"/>
        <rFont val="Arial"/>
        <charset val="134"/>
      </rPr>
      <t>On-State Resistance, R</t>
    </r>
    <r>
      <rPr>
        <vertAlign val="subscript"/>
        <sz val="10"/>
        <rFont val="Arial"/>
        <charset val="134"/>
      </rPr>
      <t>DS(on)</t>
    </r>
    <r>
      <rPr>
        <sz val="10"/>
        <rFont val="Arial"/>
        <charset val="134"/>
      </rPr>
      <t xml:space="preserve"> </t>
    </r>
  </si>
  <si>
    <t>mΩ</t>
  </si>
  <si>
    <r>
      <rPr>
        <sz val="10"/>
        <rFont val="Arial"/>
        <charset val="134"/>
      </rPr>
      <t>Total Gate Charge, Q</t>
    </r>
    <r>
      <rPr>
        <vertAlign val="subscript"/>
        <sz val="10"/>
        <rFont val="Arial"/>
        <charset val="134"/>
      </rPr>
      <t>G</t>
    </r>
    <r>
      <rPr>
        <sz val="10"/>
        <rFont val="Arial"/>
        <charset val="134"/>
      </rPr>
      <t xml:space="preserve"> </t>
    </r>
  </si>
  <si>
    <t>nC</t>
  </si>
  <si>
    <r>
      <rPr>
        <sz val="10"/>
        <rFont val="Arial"/>
        <charset val="134"/>
      </rPr>
      <t>Gate-Drain Charge, Q</t>
    </r>
    <r>
      <rPr>
        <vertAlign val="subscript"/>
        <sz val="10"/>
        <rFont val="Arial"/>
        <charset val="134"/>
      </rPr>
      <t>GD</t>
    </r>
    <r>
      <rPr>
        <sz val="10"/>
        <rFont val="Arial"/>
        <charset val="134"/>
      </rPr>
      <t xml:space="preserve"> </t>
    </r>
  </si>
  <si>
    <r>
      <rPr>
        <sz val="10"/>
        <rFont val="Arial"/>
        <charset val="134"/>
      </rPr>
      <t>Gate-Source Charge, Q</t>
    </r>
    <r>
      <rPr>
        <vertAlign val="subscript"/>
        <sz val="10"/>
        <rFont val="Arial"/>
        <charset val="134"/>
      </rPr>
      <t>GS</t>
    </r>
    <r>
      <rPr>
        <sz val="10"/>
        <rFont val="Arial"/>
        <charset val="134"/>
      </rPr>
      <t xml:space="preserve"> </t>
    </r>
  </si>
  <si>
    <r>
      <rPr>
        <sz val="10"/>
        <rFont val="Arial"/>
        <charset val="134"/>
      </rPr>
      <t>Gate Resistance, R</t>
    </r>
    <r>
      <rPr>
        <vertAlign val="subscript"/>
        <sz val="10"/>
        <rFont val="Arial"/>
        <charset val="134"/>
      </rPr>
      <t>G</t>
    </r>
    <r>
      <rPr>
        <sz val="10"/>
        <rFont val="Arial"/>
        <charset val="134"/>
      </rPr>
      <t xml:space="preserve"> </t>
    </r>
  </si>
  <si>
    <t>Ω</t>
  </si>
  <si>
    <r>
      <rPr>
        <sz val="10"/>
        <rFont val="Arial"/>
        <charset val="134"/>
      </rPr>
      <t>Transconductance, g</t>
    </r>
    <r>
      <rPr>
        <vertAlign val="subscript"/>
        <sz val="10"/>
        <rFont val="Arial"/>
        <charset val="134"/>
      </rPr>
      <t>FS</t>
    </r>
    <r>
      <rPr>
        <sz val="10"/>
        <rFont val="Arial"/>
        <charset val="134"/>
      </rPr>
      <t xml:space="preserve"> </t>
    </r>
  </si>
  <si>
    <t>S</t>
  </si>
  <si>
    <r>
      <rPr>
        <sz val="10"/>
        <rFont val="Arial"/>
        <charset val="134"/>
      </rPr>
      <t>Gate-Source Threshold Voltage, V</t>
    </r>
    <r>
      <rPr>
        <vertAlign val="subscript"/>
        <sz val="10"/>
        <rFont val="Arial"/>
        <charset val="134"/>
      </rPr>
      <t>TH</t>
    </r>
    <r>
      <rPr>
        <sz val="10"/>
        <rFont val="Arial"/>
        <charset val="134"/>
      </rPr>
      <t xml:space="preserve"> </t>
    </r>
  </si>
  <si>
    <t>Diode Parameters</t>
  </si>
  <si>
    <r>
      <rPr>
        <sz val="11"/>
        <color theme="1"/>
        <rFont val="Calibri"/>
        <charset val="134"/>
        <scheme val="minor"/>
      </rPr>
      <t>Recommended minimum average current rating (I</t>
    </r>
    <r>
      <rPr>
        <vertAlign val="subscript"/>
        <sz val="11"/>
        <color theme="1"/>
        <rFont val="Calibri"/>
        <charset val="134"/>
        <scheme val="minor"/>
      </rPr>
      <t>D_AVG</t>
    </r>
    <r>
      <rPr>
        <sz val="11"/>
        <color theme="1"/>
        <rFont val="Calibri"/>
        <charset val="134"/>
        <scheme val="minor"/>
      </rPr>
      <t>)</t>
    </r>
  </si>
  <si>
    <r>
      <rPr>
        <sz val="11"/>
        <color theme="1"/>
        <rFont val="Calibri"/>
        <charset val="134"/>
        <scheme val="minor"/>
      </rPr>
      <t>Forward Voltage Drop (V</t>
    </r>
    <r>
      <rPr>
        <vertAlign val="subscript"/>
        <sz val="11"/>
        <color theme="1"/>
        <rFont val="Calibri"/>
        <charset val="134"/>
        <scheme val="minor"/>
      </rPr>
      <t>D</t>
    </r>
    <r>
      <rPr>
        <sz val="11"/>
        <color theme="1"/>
        <rFont val="Calibri"/>
        <charset val="134"/>
        <scheme val="minor"/>
      </rPr>
      <t>)</t>
    </r>
  </si>
  <si>
    <t>Reverse recovery charge of Schottky  Diode (QRR)</t>
  </si>
  <si>
    <t>Version Number</t>
  </si>
  <si>
    <t>1.0.0</t>
  </si>
  <si>
    <t>Version History</t>
  </si>
  <si>
    <t>Version</t>
  </si>
  <si>
    <t>Change List Description</t>
  </si>
  <si>
    <t>Initial Release</t>
  </si>
  <si>
    <t>EXCEL Variables Names/Calculations</t>
  </si>
  <si>
    <t>Input from user =</t>
  </si>
  <si>
    <t>Output =</t>
  </si>
  <si>
    <t xml:space="preserve">Base Calculations of </t>
  </si>
  <si>
    <t>Spec conditions</t>
  </si>
  <si>
    <t>Nominal right now</t>
  </si>
  <si>
    <t>Constant</t>
  </si>
  <si>
    <t>Variable Name</t>
  </si>
  <si>
    <t>Value</t>
  </si>
  <si>
    <t>STD Units</t>
  </si>
  <si>
    <t>Notes</t>
  </si>
  <si>
    <t>Iteration</t>
  </si>
  <si>
    <t>Flag</t>
  </si>
  <si>
    <t>Step 1: Operational Specs</t>
  </si>
  <si>
    <t>VIN_min</t>
  </si>
  <si>
    <t>Minimum input voltage</t>
  </si>
  <si>
    <t>VIN_nom</t>
  </si>
  <si>
    <t>Nominal input voltage</t>
  </si>
  <si>
    <t>VIN_max</t>
  </si>
  <si>
    <t>Maximum input voltage</t>
  </si>
  <si>
    <t>Fsw</t>
  </si>
  <si>
    <t>Hz</t>
  </si>
  <si>
    <t xml:space="preserve">Switching frequnecy </t>
  </si>
  <si>
    <t>RT</t>
  </si>
  <si>
    <t>Oscillator Set resistor. Based on the datasheet equation</t>
  </si>
  <si>
    <t>VOUT</t>
  </si>
  <si>
    <t>Target Output Voltage</t>
  </si>
  <si>
    <t>IOUT</t>
  </si>
  <si>
    <t>Maximum Output current</t>
  </si>
  <si>
    <t>ROUT</t>
  </si>
  <si>
    <t>Minimum load resistance</t>
  </si>
  <si>
    <t>POUT</t>
  </si>
  <si>
    <t>Total output power</t>
  </si>
  <si>
    <t>EFF_est</t>
  </si>
  <si>
    <t xml:space="preserve">Estimated efficiency. Assuming 95% to give some margin </t>
  </si>
  <si>
    <t>Dc_max_ideal</t>
  </si>
  <si>
    <t>Maximum duty cycle at the minimum input voltage. Includes estimated efficiency for margin</t>
  </si>
  <si>
    <t>Dc_max_IC</t>
  </si>
  <si>
    <t>Maximum IC duty cycle. Based on the forced off time. See Mathcad Calculations</t>
  </si>
  <si>
    <t>DCM_Flag</t>
  </si>
  <si>
    <t>Is discontinuous conduction mode required to achieve step up ratio?</t>
  </si>
  <si>
    <t>*Note right now DCM is not active for SEPIC calculations</t>
  </si>
  <si>
    <t>IL_coupled</t>
  </si>
  <si>
    <r>
      <rPr>
        <sz val="11"/>
        <color theme="1"/>
        <rFont val="Calibri"/>
        <charset val="134"/>
        <scheme val="minor"/>
      </rPr>
      <t xml:space="preserve">are the inductors coupled? (1 = Yes, 0 = No). </t>
    </r>
    <r>
      <rPr>
        <b/>
        <sz val="11"/>
        <color theme="1"/>
        <rFont val="Calibri"/>
        <charset val="134"/>
        <scheme val="minor"/>
      </rPr>
      <t>This will be an option in future revisions</t>
    </r>
  </si>
  <si>
    <t>CCM Operation calculations</t>
  </si>
  <si>
    <t>Calculate the inductor at nominal voltage. This should allow for the best efficiency</t>
  </si>
  <si>
    <t>ILrip</t>
  </si>
  <si>
    <t>Selected indutor ripple ratio. Will be changed later to a standard value just to keep things simple</t>
  </si>
  <si>
    <t>Lopt_2</t>
  </si>
  <si>
    <t>H</t>
  </si>
  <si>
    <t>This value used to make the selection for CCM calculations. This is done at the Nominal input voltage</t>
  </si>
  <si>
    <t>DCM Strategy</t>
  </si>
  <si>
    <t>"Currently this is set of a boost Converter. Will need to change when Supporting DCM Calculation</t>
  </si>
  <si>
    <t>DC_DCM_max</t>
  </si>
  <si>
    <t>Maximum duty cycle for DCM operation. 70% is a good starting point. Could be related to the switching frequency</t>
  </si>
  <si>
    <t>L_DCM_DC</t>
  </si>
  <si>
    <t>Select DCM duty cycle to be 70%. This will keep the ripple current fairly low and allow for efficiency drops.</t>
  </si>
  <si>
    <t>M_L_DCM</t>
  </si>
  <si>
    <t>Margin to allow for inductor ripple current to be greater than the average input current</t>
  </si>
  <si>
    <t>L_DCM_M</t>
  </si>
  <si>
    <t xml:space="preserve">Inductor value that ensures the ripple current is larger than the average input current </t>
  </si>
  <si>
    <t>L_DCM</t>
  </si>
  <si>
    <t>Select the lowest of the two inductor value calculations</t>
  </si>
  <si>
    <t>Lm_calc</t>
  </si>
  <si>
    <t>If DCM is required (high step-up ratio) output L_DCM. Otherwise output the CCM inductor value</t>
  </si>
  <si>
    <t>Lm</t>
  </si>
  <si>
    <t>Selected filter inductor</t>
  </si>
  <si>
    <t>Input from user for uncoupled design</t>
  </si>
  <si>
    <t>Lm_A</t>
  </si>
  <si>
    <t>Input coil inductance</t>
  </si>
  <si>
    <t>Lm_B</t>
  </si>
  <si>
    <t>Output coil inductance</t>
  </si>
  <si>
    <t>Rdcr</t>
  </si>
  <si>
    <t>Filter inductor DCR</t>
  </si>
  <si>
    <t>Ltol</t>
  </si>
  <si>
    <t>Assumed inductor tolerance. Constant to help simplify the user experience</t>
  </si>
  <si>
    <t>.</t>
  </si>
  <si>
    <t>Duty Cycle Calculations</t>
  </si>
  <si>
    <t>Minium input voltage</t>
  </si>
  <si>
    <t>DCc_mode_VIN_min</t>
  </si>
  <si>
    <r>
      <rPr>
        <sz val="11"/>
        <color theme="1"/>
        <rFont val="Calibri"/>
        <charset val="134"/>
        <scheme val="minor"/>
      </rPr>
      <t xml:space="preserve">Flags if the regulator is operating in CCM or DCM (1 = CCM, 0 = DCM). </t>
    </r>
    <r>
      <rPr>
        <b/>
        <sz val="11"/>
        <color theme="1"/>
        <rFont val="Calibri"/>
        <charset val="134"/>
        <scheme val="minor"/>
      </rPr>
      <t>*Currently set to CCM all the time to enusure the calculations are correct for CCM</t>
    </r>
  </si>
  <si>
    <t>Dc_VIN_min</t>
  </si>
  <si>
    <t>Duty cycle at the mimum input voltage (CCM). DCM is modeled for coupled inductor equations. Needs to me modeld of uncoupled inductors</t>
  </si>
  <si>
    <t>s</t>
  </si>
  <si>
    <t>On-time of the switch</t>
  </si>
  <si>
    <t>Input coil currents</t>
  </si>
  <si>
    <t>ILA_avg_VIN_min</t>
  </si>
  <si>
    <t>Average input current at minimum input voltage. 100% Eff assumed</t>
  </si>
  <si>
    <t>ILArip_VINmin</t>
  </si>
  <si>
    <t xml:space="preserve">Inductor ripple current at VIN min. </t>
  </si>
  <si>
    <t>ILAp_VINmin</t>
  </si>
  <si>
    <t>Peak inductor current at VIN min. Including estimated efficiency</t>
  </si>
  <si>
    <t>Output coil currents</t>
  </si>
  <si>
    <t>Outout coil inductor calculations</t>
  </si>
  <si>
    <t>ILB_avg_VIN_min</t>
  </si>
  <si>
    <t>ILBrip_VINmin</t>
  </si>
  <si>
    <t>ILBp_VINmin</t>
  </si>
  <si>
    <t>Switch currents</t>
  </si>
  <si>
    <t>ISW_peak_VIN_min</t>
  </si>
  <si>
    <t>DCc_mode_VIN_nom</t>
  </si>
  <si>
    <t>Flags if the regulator is operating in CCM or DCM (1 = CCM, 0 = DCM)</t>
  </si>
  <si>
    <t>Dc_VIN_nom</t>
  </si>
  <si>
    <t>Duty cycle at the nominal input voltage (CCM) (First order/ ideal equation)</t>
  </si>
  <si>
    <t>ILA_avg_VIN_nom</t>
  </si>
  <si>
    <t>Average input current at nominal input voltage. 100% Eff assumed</t>
  </si>
  <si>
    <t>ILArip_VINnom</t>
  </si>
  <si>
    <t xml:space="preserve">Inductor ripple current at VIN nom. </t>
  </si>
  <si>
    <t>ILAp_VINnom</t>
  </si>
  <si>
    <t>Peak inductor current at VIN nom. Including estimated efficiency</t>
  </si>
  <si>
    <t>ILB_avg_VIN_nom</t>
  </si>
  <si>
    <t>ILBrip_VIN_nom</t>
  </si>
  <si>
    <t>ILBp_VIN_nom</t>
  </si>
  <si>
    <t>ISW_peak_VIN_nom</t>
  </si>
  <si>
    <t>DCc_mode_VIN_max</t>
  </si>
  <si>
    <t>Dc_VIN_max</t>
  </si>
  <si>
    <t>Duty cycle at the maximum input voltage (CCM) (First order/ ideal equation)</t>
  </si>
  <si>
    <t>ILA_avg_VIN_max</t>
  </si>
  <si>
    <t>Average input current at maximum input voltage. 100% Eff assumed</t>
  </si>
  <si>
    <t>ILArip_VINmax</t>
  </si>
  <si>
    <t xml:space="preserve">Inductor ripple current at VIN max. </t>
  </si>
  <si>
    <t>ILAp_VINmax</t>
  </si>
  <si>
    <t>Peak inductor current at VIN max. Including estimated efficiency</t>
  </si>
  <si>
    <t>ILB_avg_VIN_max</t>
  </si>
  <si>
    <t>ILBrip_VIN_max</t>
  </si>
  <si>
    <t>ILBp_VIN_max</t>
  </si>
  <si>
    <t>ISW_peak_VIN_max</t>
  </si>
  <si>
    <t>Step 3: Current Sense Resistor</t>
  </si>
  <si>
    <t>Ipk_margin</t>
  </si>
  <si>
    <t>Peak current limit margin. 20% is a typical value</t>
  </si>
  <si>
    <t>Ipk_selected</t>
  </si>
  <si>
    <t>Selected peak current limit based on margin selection</t>
  </si>
  <si>
    <t>Rcs_sl_ratio</t>
  </si>
  <si>
    <t>ratio of down slope to slope compensation. This can be updated to give more margin</t>
  </si>
  <si>
    <t>Rcs_max</t>
  </si>
  <si>
    <t>Maximum Rcs based on internal slope compensation. Assuming slope ratio of 1/2</t>
  </si>
  <si>
    <t>Rcs_wo_sl</t>
  </si>
  <si>
    <t>Current sense resistor without slope compensation</t>
  </si>
  <si>
    <t>Rcs_ext_sl_ratio</t>
  </si>
  <si>
    <t>External Slope compensation ratio. Constant to provide a dead beat response</t>
  </si>
  <si>
    <t>Rcs_w_sl</t>
  </si>
  <si>
    <t>Calculated current sense resistor with slope compensation included</t>
  </si>
  <si>
    <t>R_sl_ext</t>
  </si>
  <si>
    <t>Calculated external slope compensation resistor</t>
  </si>
  <si>
    <t>Flag_ext_sl</t>
  </si>
  <si>
    <t>External Compensation? (0-no, 1-yes), Only accurate for CCM as DCM doesn't need slope compensation</t>
  </si>
  <si>
    <t>R_cs_calc</t>
  </si>
  <si>
    <t>Current Sense Resistor calculated, id DCM this is going to be the value calculated without slope compensation</t>
  </si>
  <si>
    <t>R_sl_calc</t>
  </si>
  <si>
    <t>External slope compensation resistor, if DCM operation the external slope compensation is not needed. Should b 0 Ohm</t>
  </si>
  <si>
    <t>R_cs</t>
  </si>
  <si>
    <t>Selected current sense Resistor</t>
  </si>
  <si>
    <t>R_sl</t>
  </si>
  <si>
    <t>Selected external slope compensation</t>
  </si>
  <si>
    <t>sl_vin_min</t>
  </si>
  <si>
    <t>V/V</t>
  </si>
  <si>
    <t>Check to make sure that slope compensation is high enough at the minimum input voltage</t>
  </si>
  <si>
    <t>IL_pk</t>
  </si>
  <si>
    <t>Peak current limit at the minimum input voltage</t>
  </si>
  <si>
    <t>IL_pk_max</t>
  </si>
  <si>
    <t>Peak inductor current limit for saturation rating.  VIN max due to the possibility of external slope comp</t>
  </si>
  <si>
    <t>sat_mar</t>
  </si>
  <si>
    <t>Margin for saturation current of the inductor</t>
  </si>
  <si>
    <t>IL_sat</t>
  </si>
  <si>
    <t>Recommended Saturation current rating of the selected inductor</t>
  </si>
  <si>
    <t>COMP voltage Limit checks</t>
  </si>
  <si>
    <t>Step 4: AC capacitor selection</t>
  </si>
  <si>
    <t>VCrr</t>
  </si>
  <si>
    <t>Cac_min</t>
  </si>
  <si>
    <t>F</t>
  </si>
  <si>
    <t>Calculated for CCM operation assuming coupled inductors</t>
  </si>
  <si>
    <t>Cac</t>
  </si>
  <si>
    <t>Selected  AC capacitor value for the user</t>
  </si>
  <si>
    <t>V_Cac</t>
  </si>
  <si>
    <t>Max ripple voltage of the capacitor (at VIN min)</t>
  </si>
  <si>
    <t>IRMS_Cac</t>
  </si>
  <si>
    <t>RMS ripple current of the AC capacitor. Calculated at the minimum input votlage</t>
  </si>
  <si>
    <t>*Note this changed for the Version 1 forward. The output capcitance is based on the load transient specification. Similar to the fylback converter</t>
  </si>
  <si>
    <t>fcross_estimate</t>
  </si>
  <si>
    <t>RAD</t>
  </si>
  <si>
    <r>
      <rPr>
        <sz val="11"/>
        <color theme="1"/>
        <rFont val="Calibri"/>
        <charset val="134"/>
        <scheme val="minor"/>
      </rPr>
      <t>Estimate to be 1.5 the RHP zero frequency *</t>
    </r>
    <r>
      <rPr>
        <b/>
        <sz val="11"/>
        <color theme="1"/>
        <rFont val="Calibri"/>
        <charset val="134"/>
        <scheme val="minor"/>
      </rPr>
      <t>Will need to updated for DCM operation</t>
    </r>
  </si>
  <si>
    <t>Vout_rip_sel</t>
  </si>
  <si>
    <t>Desired output ripple</t>
  </si>
  <si>
    <t>Itrans</t>
  </si>
  <si>
    <t>Cout_min</t>
  </si>
  <si>
    <t>Calculate minimum capacitance based simply on the capacitive ripple</t>
  </si>
  <si>
    <t>IRMS_COUT</t>
  </si>
  <si>
    <r>
      <rPr>
        <sz val="11"/>
        <color theme="1"/>
        <rFont val="Calibri"/>
        <charset val="134"/>
        <scheme val="minor"/>
      </rPr>
      <t xml:space="preserve">RMS current of the output capacitor at VIN min IOUT max. RMS current rating should be larger than this. </t>
    </r>
    <r>
      <rPr>
        <b/>
        <sz val="11"/>
        <color theme="1"/>
        <rFont val="Calibri"/>
        <charset val="134"/>
        <scheme val="minor"/>
      </rPr>
      <t>Need to update for DCM and uncoupled inductors</t>
    </r>
  </si>
  <si>
    <t>Cout</t>
  </si>
  <si>
    <t>Selected Output Capacitance</t>
  </si>
  <si>
    <t>Resr</t>
  </si>
  <si>
    <r>
      <rPr>
        <sz val="11"/>
        <color theme="1"/>
        <rFont val="Calibri"/>
        <charset val="134"/>
        <scheme val="minor"/>
      </rPr>
      <t xml:space="preserve">Selected output capacitance ESR. </t>
    </r>
    <r>
      <rPr>
        <b/>
        <sz val="11"/>
        <color theme="1"/>
        <rFont val="Calibri"/>
        <charset val="134"/>
        <scheme val="minor"/>
      </rPr>
      <t>*Need to add a requirement here for the maximum value</t>
    </r>
  </si>
  <si>
    <t>Step 6: Soft-start Capacitor selection</t>
  </si>
  <si>
    <t>SS time</t>
  </si>
  <si>
    <t>ms</t>
  </si>
  <si>
    <t>Softstart time for LM34x8</t>
  </si>
  <si>
    <t>Step 7: UVLO Resistor Selection</t>
  </si>
  <si>
    <t>No UVLO pin</t>
  </si>
  <si>
    <t>Step 8: Loop Compensation</t>
  </si>
  <si>
    <t>VIN_var</t>
  </si>
  <si>
    <r>
      <rPr>
        <sz val="11"/>
        <color theme="1"/>
        <rFont val="Calibri"/>
        <charset val="134"/>
        <scheme val="minor"/>
      </rPr>
      <t xml:space="preserve">Variable input voltage to model the loop. </t>
    </r>
    <r>
      <rPr>
        <b/>
        <sz val="11"/>
        <color theme="1"/>
        <rFont val="Calibri"/>
        <charset val="134"/>
        <scheme val="minor"/>
      </rPr>
      <t>Currently not used. Will be updated in next rev</t>
    </r>
  </si>
  <si>
    <t>Feedback resistor selection</t>
  </si>
  <si>
    <t>RFBT</t>
  </si>
  <si>
    <t>Selected by user. Feedback resistor should be &gt;100uA to help reject noise</t>
  </si>
  <si>
    <t>RFBB_CALC</t>
  </si>
  <si>
    <t>Estimated bottom feedback resistor</t>
  </si>
  <si>
    <t>RFBB</t>
  </si>
  <si>
    <t>Selected botton feedback resistor</t>
  </si>
  <si>
    <t>Ifb</t>
  </si>
  <si>
    <t>Current Drawn from the feedback resistors (Typically higher than 100uA to help w/ noise)</t>
  </si>
  <si>
    <t>Crossover Frequency Selection</t>
  </si>
  <si>
    <t>This is based on the minimum input voltage. T</t>
  </si>
  <si>
    <t>CCM Calculations</t>
  </si>
  <si>
    <t>ADC_VINmin</t>
  </si>
  <si>
    <t>wp_lf_VINmin</t>
  </si>
  <si>
    <t>rad</t>
  </si>
  <si>
    <t>Low frequency pole based on the minimum input voltage</t>
  </si>
  <si>
    <t>fp_lf_VINmin</t>
  </si>
  <si>
    <r>
      <rPr>
        <sz val="11"/>
        <color theme="1"/>
        <rFont val="Calibri"/>
        <charset val="134"/>
        <scheme val="minor"/>
      </rPr>
      <t xml:space="preserve">Plant low frequency pole. </t>
    </r>
    <r>
      <rPr>
        <b/>
        <sz val="11"/>
        <color theme="1"/>
        <rFont val="Calibri"/>
        <charset val="134"/>
        <scheme val="minor"/>
      </rPr>
      <t>IN Hz!!!</t>
    </r>
  </si>
  <si>
    <t>wz_esr_VINmin</t>
  </si>
  <si>
    <t>raf</t>
  </si>
  <si>
    <t>ESR zero based on the minimum input voltage</t>
  </si>
  <si>
    <t>fz_esr_VINmin</t>
  </si>
  <si>
    <r>
      <rPr>
        <sz val="11"/>
        <color theme="1"/>
        <rFont val="Calibri"/>
        <charset val="134"/>
        <scheme val="minor"/>
      </rPr>
      <t xml:space="preserve">Plant capacitor ESR zero </t>
    </r>
    <r>
      <rPr>
        <b/>
        <sz val="11"/>
        <color theme="1"/>
        <rFont val="Calibri"/>
        <charset val="134"/>
        <scheme val="minor"/>
      </rPr>
      <t>(In Hz)</t>
    </r>
  </si>
  <si>
    <t>wz_RHP_VINmin</t>
  </si>
  <si>
    <t>RHP_zero location based on the minimum input voltage</t>
  </si>
  <si>
    <t>fz_rhp_VINmin</t>
  </si>
  <si>
    <r>
      <rPr>
        <sz val="11"/>
        <color theme="1"/>
        <rFont val="Calibri"/>
        <charset val="134"/>
        <scheme val="minor"/>
      </rPr>
      <t xml:space="preserve">Plant RHP Zero, </t>
    </r>
    <r>
      <rPr>
        <b/>
        <sz val="11"/>
        <color theme="1"/>
        <rFont val="Calibri"/>
        <charset val="134"/>
        <scheme val="minor"/>
      </rPr>
      <t>(IN Hz)</t>
    </r>
  </si>
  <si>
    <t>1/10 the swictching frequency</t>
  </si>
  <si>
    <r>
      <rPr>
        <sz val="11"/>
        <color theme="1"/>
        <rFont val="Calibri"/>
        <charset val="134"/>
        <scheme val="minor"/>
      </rPr>
      <t xml:space="preserve">Select the lower crossover frequency </t>
    </r>
    <r>
      <rPr>
        <b/>
        <sz val="11"/>
        <color theme="1"/>
        <rFont val="Calibri"/>
        <charset val="134"/>
        <scheme val="minor"/>
      </rPr>
      <t>(typically going to set to 1/5th the RHP zero)</t>
    </r>
  </si>
  <si>
    <t>Se_VINmin</t>
  </si>
  <si>
    <t xml:space="preserve">Slope compensation </t>
  </si>
  <si>
    <t>Sn_VINmin</t>
  </si>
  <si>
    <t>Down slope at the selected input voltage</t>
  </si>
  <si>
    <t>wsl_VINmin</t>
  </si>
  <si>
    <t>Rad</t>
  </si>
  <si>
    <t>Q_VINmin</t>
  </si>
  <si>
    <t>fcross_CCM</t>
  </si>
  <si>
    <r>
      <rPr>
        <sz val="11"/>
        <color theme="1"/>
        <rFont val="Calibri"/>
        <charset val="134"/>
        <scheme val="minor"/>
      </rPr>
      <t xml:space="preserve">Conservative. Set Fcross to be 1/6th the RHP zero frequency or 1/10th SW: whichever is lower. </t>
    </r>
    <r>
      <rPr>
        <b/>
        <sz val="11"/>
        <color theme="1"/>
        <rFont val="Calibri"/>
        <charset val="134"/>
        <scheme val="minor"/>
      </rPr>
      <t>Note this is just for CCM operation</t>
    </r>
  </si>
  <si>
    <t>fz_ea_est</t>
  </si>
  <si>
    <t>This sets the error amp zero at the geometric mean between the load pole and the crossover frequency</t>
  </si>
  <si>
    <t>fp_ea_est</t>
  </si>
  <si>
    <t>This should be set at or near the lowest RHP zero Frequency</t>
  </si>
  <si>
    <t>fcross</t>
  </si>
  <si>
    <t>Set between 1/2 fsw and the RHPz in the application note. This is aggressive</t>
  </si>
  <si>
    <t>Rcomp_Calc_CCM</t>
  </si>
  <si>
    <t>Calculate on based on the desired Mid-band gain needed to set the crossover frequency</t>
  </si>
  <si>
    <t>CCOMP_calc_CCM</t>
  </si>
  <si>
    <t>Calcualted based on the desired Zero frequency. Set at the geometric mean between the crossover frequency and the load pole</t>
  </si>
  <si>
    <t>CHF_Calc_CCM</t>
  </si>
  <si>
    <t>Calcualted based on the RHP zero frequency</t>
  </si>
  <si>
    <t>DCM Selections</t>
  </si>
  <si>
    <t>*DCM operation is not modeled is disabled on the loop compensation. Needs to be modeled for a SEPIC</t>
  </si>
  <si>
    <t>Fm_DCM</t>
  </si>
  <si>
    <t>Modulator gain of the PWM comparator</t>
  </si>
  <si>
    <t>ADC_VIN_min_DCM</t>
  </si>
  <si>
    <t>wp_dcm</t>
  </si>
  <si>
    <t>wz1_dcm</t>
  </si>
  <si>
    <t>wz2_dcm</t>
  </si>
  <si>
    <t>RHP zero location</t>
  </si>
  <si>
    <t>fcross_DCM</t>
  </si>
  <si>
    <r>
      <rPr>
        <sz val="11"/>
        <color theme="1"/>
        <rFont val="Calibri"/>
        <charset val="134"/>
        <scheme val="minor"/>
      </rPr>
      <t>Crossover frequnecy of the</t>
    </r>
    <r>
      <rPr>
        <b/>
        <sz val="11"/>
        <color theme="1"/>
        <rFont val="Calibri"/>
        <charset val="134"/>
        <scheme val="minor"/>
      </rPr>
      <t xml:space="preserve"> DCM control loop</t>
    </r>
    <r>
      <rPr>
        <sz val="11"/>
        <color theme="1"/>
        <rFont val="Calibri"/>
        <charset val="134"/>
        <scheme val="minor"/>
      </rPr>
      <t>. (1/5th the RHPzero frequency), suggested</t>
    </r>
  </si>
  <si>
    <t>Gain of the plant at the crossover frequency</t>
  </si>
  <si>
    <t>Selected cross over frequency by the user.</t>
  </si>
  <si>
    <t>Rcomp_Calc_DCM</t>
  </si>
  <si>
    <t>Ohm</t>
  </si>
  <si>
    <t>CCOMP_Calc_DCM</t>
  </si>
  <si>
    <t>CHF_Calc_DCM</t>
  </si>
  <si>
    <t>General Loop Selections</t>
  </si>
  <si>
    <t>This is the output to the user based on the mode of operation when VIN is the minimum</t>
  </si>
  <si>
    <t>Desired Crossover frequency</t>
  </si>
  <si>
    <t>Rcomp_Calc</t>
  </si>
  <si>
    <t>RCOMP</t>
  </si>
  <si>
    <t>Type II compensation Resistort</t>
  </si>
  <si>
    <t>CCOMP_calc</t>
  </si>
  <si>
    <t>CCOMP</t>
  </si>
  <si>
    <t>Type II compensation Capacitor</t>
  </si>
  <si>
    <t>CHF_calc</t>
  </si>
  <si>
    <t>CHF</t>
  </si>
  <si>
    <t>Type II high frequency capacitor</t>
  </si>
  <si>
    <t>Step 7: Component Selection</t>
  </si>
  <si>
    <t>Id_AVG</t>
  </si>
  <si>
    <t xml:space="preserve">Suggested average current rating of diode. </t>
  </si>
  <si>
    <t>Vd_rect</t>
  </si>
  <si>
    <t>Rect Diode forward voltage drop</t>
  </si>
  <si>
    <t>Qrr</t>
  </si>
  <si>
    <t>C</t>
  </si>
  <si>
    <t>Shottky Reverse recovery charge</t>
  </si>
  <si>
    <t>MOSFET Parameters</t>
  </si>
  <si>
    <t>RDS_on</t>
  </si>
  <si>
    <t>Qg_tot</t>
  </si>
  <si>
    <t>Qgd</t>
  </si>
  <si>
    <t>Qgs</t>
  </si>
  <si>
    <t>Rgate</t>
  </si>
  <si>
    <t>Rgate_int</t>
  </si>
  <si>
    <t>Internal Gate resistance of the MOSFET driver.</t>
  </si>
  <si>
    <t>gfs</t>
  </si>
  <si>
    <t>Vth</t>
  </si>
  <si>
    <t>VCC</t>
  </si>
  <si>
    <t xml:space="preserve">VCC voltage. Can be changed with external bias. </t>
  </si>
  <si>
    <t>Vsp</t>
  </si>
  <si>
    <t>Gate voltage when MOSFET begins conducting current</t>
  </si>
  <si>
    <t>tr_sw</t>
  </si>
  <si>
    <t>Rise time of the switch node</t>
  </si>
  <si>
    <t>tf_sw</t>
  </si>
  <si>
    <t>Fall time of the switch node</t>
  </si>
  <si>
    <t>Check this value</t>
  </si>
  <si>
    <t>Coils are not included in the efficiency calculations</t>
  </si>
  <si>
    <t>Operation Variables</t>
  </si>
  <si>
    <t>Duty Cycle</t>
  </si>
  <si>
    <t>Inductor (Written of the switch on SEPIC)</t>
  </si>
  <si>
    <t>MOSFET</t>
  </si>
  <si>
    <t>Diode</t>
  </si>
  <si>
    <t>Other Losses</t>
  </si>
  <si>
    <t>Total Losses</t>
  </si>
  <si>
    <t>VIN</t>
  </si>
  <si>
    <t>IIN</t>
  </si>
  <si>
    <t>DCM/CCM</t>
  </si>
  <si>
    <t>DC</t>
  </si>
  <si>
    <t>DC_off</t>
  </si>
  <si>
    <t>dIL</t>
  </si>
  <si>
    <r>
      <rPr>
        <sz val="11"/>
        <color theme="1"/>
        <rFont val="Calibri"/>
        <charset val="134"/>
        <scheme val="minor"/>
      </rPr>
      <t>IL</t>
    </r>
    <r>
      <rPr>
        <vertAlign val="subscript"/>
        <sz val="11"/>
        <color theme="1"/>
        <rFont val="Calibri"/>
        <charset val="134"/>
        <scheme val="minor"/>
      </rPr>
      <t>PEAK</t>
    </r>
  </si>
  <si>
    <r>
      <rPr>
        <sz val="11"/>
        <color theme="1"/>
        <rFont val="Calibri"/>
        <charset val="134"/>
        <scheme val="minor"/>
      </rPr>
      <t>IL</t>
    </r>
    <r>
      <rPr>
        <vertAlign val="subscript"/>
        <sz val="11"/>
        <color theme="1"/>
        <rFont val="Calibri"/>
        <charset val="134"/>
        <scheme val="minor"/>
      </rPr>
      <t>RMS</t>
    </r>
  </si>
  <si>
    <r>
      <rPr>
        <sz val="11"/>
        <color theme="1"/>
        <rFont val="Calibri"/>
        <charset val="134"/>
        <scheme val="minor"/>
      </rPr>
      <t>P</t>
    </r>
    <r>
      <rPr>
        <vertAlign val="subscript"/>
        <sz val="11"/>
        <color theme="1"/>
        <rFont val="Calibri"/>
        <charset val="134"/>
        <scheme val="minor"/>
      </rPr>
      <t>Lac</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</si>
  <si>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L_DCR</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</si>
  <si>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L_tot</t>
    </r>
    <r>
      <rPr>
        <sz val="11"/>
        <color theme="1"/>
        <rFont val="Calibri"/>
        <charset val="134"/>
        <scheme val="minor"/>
      </rPr>
      <t xml:space="preserve"> (W)</t>
    </r>
  </si>
  <si>
    <r>
      <rPr>
        <sz val="11"/>
        <color theme="1"/>
        <rFont val="Calibri"/>
        <charset val="134"/>
        <scheme val="minor"/>
      </rPr>
      <t>ISW</t>
    </r>
    <r>
      <rPr>
        <vertAlign val="subscript"/>
        <sz val="11"/>
        <color theme="1"/>
        <rFont val="Calibri"/>
        <charset val="134"/>
        <scheme val="minor"/>
      </rPr>
      <t xml:space="preserve">AVG </t>
    </r>
    <r>
      <rPr>
        <sz val="11"/>
        <color theme="1"/>
        <rFont val="Calibri"/>
        <charset val="134"/>
        <scheme val="minor"/>
      </rPr>
      <t>(A)</t>
    </r>
  </si>
  <si>
    <r>
      <rPr>
        <sz val="11"/>
        <color theme="1"/>
        <rFont val="Calibri"/>
        <charset val="134"/>
        <scheme val="minor"/>
      </rPr>
      <t>ISW</t>
    </r>
    <r>
      <rPr>
        <vertAlign val="subscript"/>
        <sz val="11"/>
        <color theme="1"/>
        <rFont val="Calibri"/>
        <charset val="134"/>
        <scheme val="minor"/>
      </rPr>
      <t>RMS</t>
    </r>
  </si>
  <si>
    <r>
      <rPr>
        <sz val="11"/>
        <color theme="1"/>
        <rFont val="Calibri"/>
        <charset val="134"/>
        <scheme val="minor"/>
      </rPr>
      <t>P</t>
    </r>
    <r>
      <rPr>
        <vertAlign val="subscript"/>
        <sz val="11"/>
        <color theme="1"/>
        <rFont val="Calibri"/>
        <charset val="134"/>
        <scheme val="minor"/>
      </rPr>
      <t xml:space="preserve">Q_COND </t>
    </r>
    <r>
      <rPr>
        <sz val="11"/>
        <color theme="1"/>
        <rFont val="Calibri"/>
        <charset val="134"/>
        <scheme val="minor"/>
      </rPr>
      <t>(W)</t>
    </r>
  </si>
  <si>
    <r>
      <rPr>
        <sz val="11"/>
        <color theme="1"/>
        <rFont val="Calibri"/>
        <charset val="134"/>
        <scheme val="minor"/>
      </rPr>
      <t>P</t>
    </r>
    <r>
      <rPr>
        <vertAlign val="subscript"/>
        <sz val="11"/>
        <color theme="1"/>
        <rFont val="Calibri"/>
        <charset val="134"/>
        <scheme val="minor"/>
      </rPr>
      <t xml:space="preserve">Q_SW </t>
    </r>
    <r>
      <rPr>
        <sz val="11"/>
        <color theme="1"/>
        <rFont val="Calibri"/>
        <charset val="134"/>
        <scheme val="minor"/>
      </rPr>
      <t>(W)</t>
    </r>
  </si>
  <si>
    <r>
      <rPr>
        <sz val="11"/>
        <color theme="1"/>
        <rFont val="Calibri"/>
        <charset val="134"/>
        <scheme val="minor"/>
      </rPr>
      <t>P</t>
    </r>
    <r>
      <rPr>
        <vertAlign val="subscript"/>
        <sz val="11"/>
        <color theme="1"/>
        <rFont val="Calibri"/>
        <charset val="134"/>
        <scheme val="minor"/>
      </rPr>
      <t xml:space="preserve">Q_tot </t>
    </r>
    <r>
      <rPr>
        <sz val="11"/>
        <color theme="1"/>
        <rFont val="Calibri"/>
        <charset val="134"/>
        <scheme val="minor"/>
      </rPr>
      <t>(W)</t>
    </r>
  </si>
  <si>
    <r>
      <rPr>
        <sz val="11"/>
        <color theme="1"/>
        <rFont val="Calibri"/>
        <charset val="134"/>
        <scheme val="minor"/>
      </rPr>
      <t>ID</t>
    </r>
    <r>
      <rPr>
        <vertAlign val="subscript"/>
        <sz val="11"/>
        <color theme="1"/>
        <rFont val="Calibri"/>
        <charset val="134"/>
        <scheme val="minor"/>
      </rPr>
      <t xml:space="preserve">AVG </t>
    </r>
    <r>
      <rPr>
        <sz val="11"/>
        <color theme="1"/>
        <rFont val="Calibri"/>
        <charset val="134"/>
        <scheme val="minor"/>
      </rPr>
      <t>(A)</t>
    </r>
  </si>
  <si>
    <r>
      <rPr>
        <sz val="11"/>
        <color theme="1"/>
        <rFont val="Calibri"/>
        <charset val="134"/>
        <scheme val="minor"/>
      </rPr>
      <t>ID</t>
    </r>
    <r>
      <rPr>
        <vertAlign val="subscript"/>
        <sz val="11"/>
        <color theme="1"/>
        <rFont val="Calibri"/>
        <charset val="134"/>
        <scheme val="minor"/>
      </rPr>
      <t>RMS</t>
    </r>
  </si>
  <si>
    <r>
      <rPr>
        <sz val="11"/>
        <color theme="1"/>
        <rFont val="Calibri"/>
        <charset val="134"/>
        <scheme val="minor"/>
      </rPr>
      <t>P</t>
    </r>
    <r>
      <rPr>
        <vertAlign val="subscript"/>
        <sz val="11"/>
        <color theme="1"/>
        <rFont val="Calibri"/>
        <charset val="134"/>
        <scheme val="minor"/>
      </rPr>
      <t xml:space="preserve">D_COND </t>
    </r>
    <r>
      <rPr>
        <sz val="11"/>
        <color theme="1"/>
        <rFont val="Calibri"/>
        <charset val="134"/>
        <scheme val="minor"/>
      </rPr>
      <t>(W)</t>
    </r>
  </si>
  <si>
    <r>
      <rPr>
        <sz val="11"/>
        <color theme="1"/>
        <rFont val="Calibri"/>
        <charset val="134"/>
        <scheme val="minor"/>
      </rPr>
      <t>P</t>
    </r>
    <r>
      <rPr>
        <vertAlign val="subscript"/>
        <sz val="11"/>
        <color theme="1"/>
        <rFont val="Calibri"/>
        <charset val="134"/>
        <scheme val="minor"/>
      </rPr>
      <t xml:space="preserve">D_SW </t>
    </r>
    <r>
      <rPr>
        <sz val="11"/>
        <color theme="1"/>
        <rFont val="Calibri"/>
        <charset val="134"/>
        <scheme val="minor"/>
      </rPr>
      <t>(W)</t>
    </r>
  </si>
  <si>
    <r>
      <rPr>
        <sz val="11"/>
        <color theme="1"/>
        <rFont val="Calibri"/>
        <charset val="134"/>
        <scheme val="minor"/>
      </rPr>
      <t>P</t>
    </r>
    <r>
      <rPr>
        <vertAlign val="subscript"/>
        <sz val="11"/>
        <color theme="1"/>
        <rFont val="Calibri"/>
        <charset val="134"/>
        <scheme val="minor"/>
      </rPr>
      <t xml:space="preserve">D_tot </t>
    </r>
    <r>
      <rPr>
        <sz val="11"/>
        <color theme="1"/>
        <rFont val="Calibri"/>
        <charset val="134"/>
        <scheme val="minor"/>
      </rPr>
      <t>(W)</t>
    </r>
  </si>
  <si>
    <r>
      <rPr>
        <sz val="11"/>
        <color theme="1"/>
        <rFont val="Calibri"/>
        <charset val="134"/>
        <scheme val="minor"/>
      </rPr>
      <t>P</t>
    </r>
    <r>
      <rPr>
        <vertAlign val="subscript"/>
        <sz val="11"/>
        <color theme="1"/>
        <rFont val="Calibri"/>
        <charset val="134"/>
        <scheme val="minor"/>
      </rPr>
      <t>RCS</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</si>
  <si>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G_drv</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</si>
  <si>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IQ</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</si>
  <si>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TOTAL</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</si>
  <si>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OUT</t>
    </r>
    <r>
      <rPr>
        <sz val="11"/>
        <color theme="1"/>
        <rFont val="Calibri"/>
        <charset val="134"/>
        <scheme val="minor"/>
      </rPr>
      <t xml:space="preserve"> (W)</t>
    </r>
  </si>
  <si>
    <t>Eff</t>
  </si>
  <si>
    <t>VIN_VAR</t>
  </si>
  <si>
    <t>Steps</t>
  </si>
  <si>
    <t>Step size</t>
  </si>
  <si>
    <t>Calculations</t>
  </si>
  <si>
    <t>Needs to be updated for DCM operation</t>
  </si>
  <si>
    <t>Operating mode</t>
  </si>
  <si>
    <t>Plant Transfer Function</t>
  </si>
  <si>
    <t>Error Amplifier</t>
  </si>
  <si>
    <t>CCM Open Loop Response</t>
  </si>
  <si>
    <t>DCM Open Loop Response</t>
  </si>
  <si>
    <t>Displayed Loop Calclation</t>
  </si>
  <si>
    <t>wp_lf</t>
  </si>
  <si>
    <t>wz_esr</t>
  </si>
  <si>
    <t>Sampling</t>
  </si>
  <si>
    <t>Total</t>
  </si>
  <si>
    <t>wz_RHP</t>
  </si>
  <si>
    <t>wp0_ea</t>
  </si>
  <si>
    <t>wp1_ea</t>
  </si>
  <si>
    <t>wz_ea</t>
  </si>
  <si>
    <t>ADC</t>
  </si>
  <si>
    <t>Complex</t>
  </si>
  <si>
    <t>Gain</t>
  </si>
  <si>
    <t>Phase</t>
  </si>
  <si>
    <t>COMPLEX</t>
  </si>
  <si>
    <t xml:space="preserve">Gain </t>
  </si>
  <si>
    <t>ADC_ea</t>
  </si>
  <si>
    <t>Frcoss (VIN)min</t>
  </si>
  <si>
    <t>Fcross</t>
  </si>
  <si>
    <t>Input Parameters</t>
  </si>
  <si>
    <t>XOVER SEARCH</t>
  </si>
  <si>
    <t>xover</t>
  </si>
  <si>
    <t>phase margin</t>
  </si>
  <si>
    <t xml:space="preserve"> CCMPlant Parameters</t>
  </si>
  <si>
    <t>Selected VIN</t>
  </si>
  <si>
    <t>Variable input voltage</t>
  </si>
  <si>
    <t>CCM Plant Transfer Function</t>
  </si>
  <si>
    <t>DCM Plant Transfer Function</t>
  </si>
  <si>
    <t>IOUT_VAR</t>
  </si>
  <si>
    <t>Variable output current (Can add this a different revision, not needed right now)</t>
  </si>
  <si>
    <t>DC_VIN_Var</t>
  </si>
  <si>
    <t>Frequency</t>
  </si>
  <si>
    <t>Gain(dB)</t>
  </si>
  <si>
    <t>Phase (deg)</t>
  </si>
  <si>
    <t>Gain Cross</t>
  </si>
  <si>
    <t>Phase Cross</t>
  </si>
  <si>
    <t>Output Voltage</t>
  </si>
  <si>
    <t>Component Selection</t>
  </si>
  <si>
    <t>LM</t>
  </si>
  <si>
    <t>filter Inductor</t>
  </si>
  <si>
    <t>Current sense resi</t>
  </si>
  <si>
    <t>External Slope Compensation Resistor</t>
  </si>
  <si>
    <t>Rsl_int</t>
  </si>
  <si>
    <t>Interanl Slope Compesnation Resistor</t>
  </si>
  <si>
    <t>Isl</t>
  </si>
  <si>
    <t>Interanl Slope Compesnation current</t>
  </si>
  <si>
    <t>Gcomp</t>
  </si>
  <si>
    <t>Scale down factor of the interal comp voltage divider</t>
  </si>
  <si>
    <r>
      <rPr>
        <sz val="11"/>
        <color theme="1"/>
        <rFont val="Calibri"/>
        <charset val="134"/>
        <scheme val="minor"/>
      </rPr>
      <t xml:space="preserve">0 - DCM operation, 1- CCM opertaion. </t>
    </r>
    <r>
      <rPr>
        <b/>
        <sz val="11"/>
        <color theme="1"/>
        <rFont val="Calibri"/>
        <charset val="134"/>
        <scheme val="minor"/>
      </rPr>
      <t>Always set to CCM right now</t>
    </r>
  </si>
  <si>
    <t>CCM Plan Parameters</t>
  </si>
  <si>
    <t>DC gain of the plant function</t>
  </si>
  <si>
    <t>Low Frequency Pole</t>
  </si>
  <si>
    <t>dB</t>
  </si>
  <si>
    <t>Gain of open loop at wp_Lf</t>
  </si>
  <si>
    <t>wz_rhp</t>
  </si>
  <si>
    <t>RHPz zero of boost converter</t>
  </si>
  <si>
    <t>ESR zero cause by output capacitance</t>
  </si>
  <si>
    <t>Se</t>
  </si>
  <si>
    <t>Sn</t>
  </si>
  <si>
    <t>wsl</t>
  </si>
  <si>
    <t>Q</t>
  </si>
  <si>
    <t>Compensation Components</t>
  </si>
  <si>
    <t>Top feedback resistor</t>
  </si>
  <si>
    <t>Bottom feedback resistor</t>
  </si>
  <si>
    <t>Adc_ea</t>
  </si>
  <si>
    <t>Error Amplifier Zero</t>
  </si>
  <si>
    <t>Error Amplifier pole at the origin</t>
  </si>
  <si>
    <t>Error Amplifier pole at high frequencies</t>
  </si>
  <si>
    <t xml:space="preserve"> DCMPlant Parameters</t>
  </si>
  <si>
    <t>DC_VIN_var_DCM</t>
  </si>
  <si>
    <t>Duty cycle of the converter in DCM</t>
  </si>
  <si>
    <t>"Note this include the COMP to PWM gain term (.145V/V)</t>
  </si>
  <si>
    <t>wp_lf_DCM</t>
  </si>
  <si>
    <t>EXCEL Constants / Values / IC Limits</t>
  </si>
  <si>
    <t>Excel Calculator based on LM5155 basis</t>
  </si>
  <si>
    <t xml:space="preserve">IC Duty Cycle Limitation: </t>
  </si>
  <si>
    <t>D_2p2_min</t>
  </si>
  <si>
    <t>Minimum max duty cycle at 2p2MHZ operation</t>
  </si>
  <si>
    <t>t_off_max</t>
  </si>
  <si>
    <t>Maximum forced off time</t>
  </si>
  <si>
    <t>D_2p2_nom</t>
  </si>
  <si>
    <t>T_off_nom</t>
  </si>
  <si>
    <t>nominal forced off time</t>
  </si>
  <si>
    <t>D_2p2_max</t>
  </si>
  <si>
    <t>T_off_min</t>
  </si>
  <si>
    <t>Minimum forced off time</t>
  </si>
  <si>
    <t>D_limit_min</t>
  </si>
  <si>
    <t>Min max duty cycle at low frequency</t>
  </si>
  <si>
    <t>D_limit_nom</t>
  </si>
  <si>
    <t>Nomminal max duty cycle at low frequency</t>
  </si>
  <si>
    <t>D_limit_max</t>
  </si>
  <si>
    <t>Maximum max duty cycle at low frequency</t>
  </si>
  <si>
    <t>Forced off time limit? [2 True, 1 False].</t>
  </si>
  <si>
    <t>Dc_Limit</t>
  </si>
  <si>
    <t>Max duty cycle of LM5155 at Fsw</t>
  </si>
  <si>
    <t>ton_min</t>
  </si>
  <si>
    <t>Typical Ton minimum value</t>
  </si>
  <si>
    <t>Slope Compensation</t>
  </si>
  <si>
    <t>Fsw:</t>
  </si>
  <si>
    <t>Internal slope compensation ramp</t>
  </si>
  <si>
    <t>Internal Slope compensation resistor</t>
  </si>
  <si>
    <t>Vcl</t>
  </si>
  <si>
    <t>Current Limit Value. See datsheet for Parameters</t>
  </si>
  <si>
    <t>Rsl_max</t>
  </si>
  <si>
    <t>Intenal step down of the divider</t>
  </si>
  <si>
    <t>Acs</t>
  </si>
  <si>
    <t>Current sense Amplifier Gain (1 for this device)</t>
  </si>
  <si>
    <t>Vref</t>
  </si>
  <si>
    <t>Reference voltage</t>
  </si>
  <si>
    <t>gm_ea</t>
  </si>
  <si>
    <t>A/V</t>
  </si>
  <si>
    <t>Error Amplifier Gain</t>
  </si>
  <si>
    <t>Soft-Start</t>
  </si>
  <si>
    <t>internally fixed</t>
  </si>
  <si>
    <t>UVLO Thresholds</t>
  </si>
  <si>
    <t>UV_rise</t>
  </si>
  <si>
    <t>NO UVLO PIN</t>
  </si>
  <si>
    <t>UV_fall</t>
  </si>
  <si>
    <t>UV_I_hyst</t>
  </si>
  <si>
    <t>VCC regulator</t>
  </si>
  <si>
    <t>Vcc</t>
  </si>
  <si>
    <t>Regulated output voltage of internal LDO. Can change if this is externally biased.</t>
  </si>
  <si>
    <t>IQ current</t>
  </si>
  <si>
    <t xml:space="preserve">IQ </t>
  </si>
  <si>
    <t>Non-switching IQ current</t>
  </si>
  <si>
    <t>200uA for redbull</t>
  </si>
  <si>
    <t>Operation Raange</t>
  </si>
  <si>
    <t>Vin_op_min</t>
  </si>
  <si>
    <t>Minimum operating voltage</t>
  </si>
  <si>
    <t>Vin_op_max</t>
  </si>
  <si>
    <t>Maximum BIAS pin operating voltage</t>
  </si>
  <si>
    <t>VIN_op_max_56</t>
  </si>
  <si>
    <t>Abs max BIAS</t>
  </si>
  <si>
    <t>Input Voltage</t>
  </si>
</sst>
</file>

<file path=xl/styles.xml><?xml version="1.0" encoding="utf-8"?>
<styleSheet xmlns="http://schemas.openxmlformats.org/spreadsheetml/2006/main" xmlns:mc="http://schemas.openxmlformats.org/markup-compatibility/2006" xmlns:xr9="http://schemas.microsoft.com/office/spreadsheetml/2016/revision9" mc:Ignorable="xr9">
  <numFmts count="13">
    <numFmt numFmtId="26" formatCode="General"/>
    <numFmt numFmtId="176" formatCode="_-* #,##0.00_-;\-* #,##0.00_-;_-* &quot;-&quot;??_-;_-@_-"/>
    <numFmt numFmtId="177" formatCode="_-* #,##0.00\ &quot;zł&quot;_-;\-* #,##0.00\ &quot;zł&quot;_-;_-* &quot;-&quot;??\ &quot;zł&quot;_-;_-@_-"/>
    <numFmt numFmtId="178" formatCode="_-* #,##0_-;\-* #,##0_-;_-* &quot;-&quot;_-;_-@_-"/>
    <numFmt numFmtId="179" formatCode="_-* #,##0\ &quot;zł&quot;_-;\-* #,##0\ &quot;zł&quot;_-;_-* &quot;-&quot;\ &quot;zł&quot;_-;_-@_-"/>
    <numFmt numFmtId="180" formatCode="_(* #,##0.00_);_(* \(#,##0.00\);_(* &quot;-&quot;??_);_(@_)"/>
    <numFmt numFmtId="181" formatCode="0.000E+00"/>
    <numFmt numFmtId="182" formatCode="0.000"/>
    <numFmt numFmtId="183" formatCode="0.00000"/>
    <numFmt numFmtId="184" formatCode="0.0000E+00"/>
    <numFmt numFmtId="185" formatCode="0.0000"/>
    <numFmt numFmtId="186" formatCode="0.0"/>
    <numFmt numFmtId="187" formatCode="0.000000E+00"/>
  </numFmts>
  <fonts count="65">
    <font>
      <sz val="11"/>
      <color theme="1"/>
      <name val="Calibri"/>
      <charset val="134"/>
      <scheme val="minor"/>
    </font>
    <font>
      <b/>
      <sz val="22"/>
      <color indexed="44"/>
      <name val="Arial"/>
      <charset val="134"/>
    </font>
    <font>
      <b/>
      <sz val="10"/>
      <name val="Arial"/>
      <charset val="134"/>
    </font>
    <font>
      <sz val="10"/>
      <name val="Arial"/>
      <charset val="134"/>
    </font>
    <font>
      <b/>
      <sz val="12"/>
      <color theme="1"/>
      <name val="Calibri"/>
      <charset val="134"/>
      <scheme val="minor"/>
    </font>
    <font>
      <sz val="11"/>
      <color theme="1"/>
      <name val="Calibri"/>
      <charset val="134"/>
    </font>
    <font>
      <b/>
      <sz val="11"/>
      <color theme="1"/>
      <name val="Calibri"/>
      <charset val="134"/>
      <scheme val="minor"/>
    </font>
    <font>
      <b/>
      <sz val="10"/>
      <color rgb="FF00B0F0"/>
      <name val="Arial"/>
      <charset val="134"/>
    </font>
    <font>
      <b/>
      <sz val="11"/>
      <color rgb="FF00B0F0"/>
      <name val="Calibri"/>
      <charset val="134"/>
      <scheme val="minor"/>
    </font>
    <font>
      <b/>
      <sz val="12"/>
      <color rgb="FF00B0F0"/>
      <name val="Calibri"/>
      <charset val="134"/>
      <scheme val="minor"/>
    </font>
    <font>
      <b/>
      <sz val="12"/>
      <color rgb="FF0000FF"/>
      <name val="Arial"/>
      <charset val="134"/>
    </font>
    <font>
      <b/>
      <sz val="11"/>
      <color rgb="FF0070C0"/>
      <name val="Calibri"/>
      <charset val="134"/>
      <scheme val="minor"/>
    </font>
    <font>
      <sz val="11"/>
      <color rgb="FF0070C0"/>
      <name val="Calibri"/>
      <charset val="134"/>
      <scheme val="minor"/>
    </font>
    <font>
      <b/>
      <u/>
      <sz val="11"/>
      <color theme="1"/>
      <name val="Calibri"/>
      <charset val="134"/>
      <scheme val="minor"/>
    </font>
    <font>
      <sz val="11"/>
      <name val="Calibri"/>
      <charset val="134"/>
      <scheme val="minor"/>
    </font>
    <font>
      <u/>
      <sz val="11"/>
      <color theme="1"/>
      <name val="Calibri"/>
      <charset val="134"/>
      <scheme val="minor"/>
    </font>
    <font>
      <i/>
      <sz val="11"/>
      <color theme="1"/>
      <name val="Calibri"/>
      <charset val="134"/>
      <scheme val="minor"/>
    </font>
    <font>
      <b/>
      <sz val="11"/>
      <color theme="3" tint="0.399975585192419"/>
      <name val="Calibri"/>
      <charset val="134"/>
      <scheme val="minor"/>
    </font>
    <font>
      <sz val="10"/>
      <name val="Calibri"/>
      <charset val="134"/>
      <scheme val="minor"/>
    </font>
    <font>
      <sz val="11"/>
      <color theme="1"/>
      <name val="Arial"/>
      <charset val="134"/>
    </font>
    <font>
      <b/>
      <sz val="10"/>
      <color theme="1"/>
      <name val="Arial"/>
      <charset val="134"/>
    </font>
    <font>
      <sz val="10"/>
      <color theme="1"/>
      <name val="Arial"/>
      <charset val="134"/>
    </font>
    <font>
      <b/>
      <u/>
      <sz val="10"/>
      <color theme="10"/>
      <name val="Arial"/>
      <charset val="134"/>
    </font>
    <font>
      <b/>
      <sz val="10"/>
      <color theme="0"/>
      <name val="Arial"/>
      <charset val="134"/>
    </font>
    <font>
      <b/>
      <u/>
      <sz val="11"/>
      <color theme="10"/>
      <name val="Arial"/>
      <charset val="134"/>
    </font>
    <font>
      <sz val="28"/>
      <color theme="0"/>
      <name val="Calibri"/>
      <charset val="134"/>
      <scheme val="minor"/>
    </font>
    <font>
      <b/>
      <sz val="11"/>
      <color theme="0"/>
      <name val="Calibri"/>
      <charset val="134"/>
      <scheme val="minor"/>
    </font>
    <font>
      <u/>
      <sz val="11"/>
      <color rgb="FF800080"/>
      <name val="Calibri"/>
      <charset val="134"/>
      <scheme val="minor"/>
    </font>
    <font>
      <sz val="10"/>
      <color theme="1"/>
      <name val="Calibri"/>
      <charset val="134"/>
      <scheme val="minor"/>
    </font>
    <font>
      <sz val="11"/>
      <color rgb="FFFF0000"/>
      <name val="Calibri"/>
      <charset val="134"/>
      <scheme val="minor"/>
    </font>
    <font>
      <sz val="18"/>
      <color theme="0"/>
      <name val="Calibri"/>
      <charset val="134"/>
      <scheme val="minor"/>
    </font>
    <font>
      <b/>
      <sz val="11"/>
      <color theme="4"/>
      <name val="Calibri"/>
      <charset val="134"/>
      <scheme val="minor"/>
    </font>
    <font>
      <u/>
      <sz val="11"/>
      <color theme="10"/>
      <name val="Calibri"/>
      <charset val="134"/>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vertAlign val="subscript"/>
      <sz val="11"/>
      <color theme="1"/>
      <name val="Calibri"/>
      <charset val="134"/>
    </font>
    <font>
      <vertAlign val="subscript"/>
      <sz val="11"/>
      <color theme="1"/>
      <name val="Calibri"/>
      <charset val="134"/>
      <scheme val="minor"/>
    </font>
    <font>
      <vertAlign val="subscript"/>
      <sz val="10"/>
      <color theme="1"/>
      <name val="Calibri"/>
      <charset val="134"/>
      <scheme val="minor"/>
    </font>
    <font>
      <b/>
      <vertAlign val="subscript"/>
      <sz val="11"/>
      <color rgb="FF0070C0"/>
      <name val="Calibri"/>
      <charset val="134"/>
      <scheme val="minor"/>
    </font>
    <font>
      <vertAlign val="subscript"/>
      <sz val="10"/>
      <name val="Arial"/>
      <charset val="134"/>
    </font>
    <font>
      <vertAlign val="subscript"/>
      <sz val="11"/>
      <name val="Calibri"/>
      <charset val="134"/>
      <scheme val="minor"/>
    </font>
    <font>
      <b/>
      <sz val="11"/>
      <color indexed="10"/>
      <name val="Tahoma"/>
      <charset val="134"/>
    </font>
    <font>
      <sz val="9"/>
      <name val="Tahoma"/>
      <charset val="134"/>
    </font>
    <font>
      <b/>
      <sz val="9"/>
      <name val="Tahoma"/>
      <charset val="134"/>
    </font>
    <font>
      <sz val="9"/>
      <color indexed="10"/>
      <name val="Tahoma"/>
      <charset val="134"/>
    </font>
    <font>
      <b/>
      <sz val="9"/>
      <color indexed="10"/>
      <name val="Tahoma"/>
      <charset val="134"/>
    </font>
    <font>
      <sz val="11"/>
      <name val="Tahoma"/>
      <charset val="134"/>
    </font>
    <font>
      <sz val="11"/>
      <color indexed="10"/>
      <name val="Calibri"/>
      <charset val="0"/>
      <scheme val="minor"/>
    </font>
    <font>
      <vertAlign val="subscript"/>
      <sz val="9"/>
      <name val="Tahoma"/>
      <charset val="134"/>
    </font>
  </fonts>
  <fills count="50">
    <fill>
      <patternFill patternType="none"/>
    </fill>
    <fill>
      <patternFill patternType="gray125"/>
    </fill>
    <fill>
      <patternFill patternType="solid">
        <fgColor indexed="8"/>
        <bgColor indexed="64"/>
      </patternFill>
    </fill>
    <fill>
      <patternFill patternType="solid">
        <fgColor indexed="22"/>
        <bgColor indexed="64"/>
      </patternFill>
    </fill>
    <fill>
      <patternFill patternType="solid">
        <fgColor indexed="52"/>
        <bgColor indexed="64"/>
      </patternFill>
    </fill>
    <fill>
      <patternFill patternType="solid">
        <fgColor indexed="50"/>
        <bgColor indexed="64"/>
      </patternFill>
    </fill>
    <fill>
      <patternFill patternType="solid">
        <fgColor rgb="FF92D050"/>
        <bgColor indexed="64"/>
      </patternFill>
    </fill>
    <fill>
      <patternFill patternType="solid">
        <fgColor rgb="FFFFC000"/>
        <bgColor indexed="64"/>
      </patternFill>
    </fill>
    <fill>
      <patternFill patternType="solid">
        <fgColor theme="0" tint="-0.249977111117893"/>
        <bgColor indexed="64"/>
      </patternFill>
    </fill>
    <fill>
      <patternFill patternType="solid">
        <fgColor indexed="44"/>
        <bgColor indexed="64"/>
      </patternFill>
    </fill>
    <fill>
      <patternFill patternType="solid">
        <fgColor theme="0" tint="-0.349986266670736"/>
        <bgColor indexed="64"/>
      </patternFill>
    </fill>
    <fill>
      <patternFill patternType="solid">
        <fgColor theme="5" tint="0.799981688894314"/>
        <bgColor indexed="64"/>
      </patternFill>
    </fill>
    <fill>
      <patternFill patternType="solid">
        <fgColor rgb="FFFFFF00"/>
        <bgColor indexed="64"/>
      </patternFill>
    </fill>
    <fill>
      <patternFill patternType="solid">
        <fgColor theme="0"/>
        <bgColor indexed="64"/>
      </patternFill>
    </fill>
    <fill>
      <patternFill patternType="solid">
        <fgColor rgb="FFDE0000"/>
        <bgColor indexed="64"/>
      </patternFill>
    </fill>
    <fill>
      <patternFill patternType="solid">
        <fgColor theme="1"/>
        <bgColor indexed="64"/>
      </patternFill>
    </fill>
    <fill>
      <patternFill patternType="solid">
        <fgColor theme="2" tint="-0.899990844447157"/>
        <bgColor indexed="64"/>
      </patternFill>
    </fill>
    <fill>
      <patternFill patternType="solid">
        <fgColor rgb="FFFF0000"/>
        <bgColor indexed="64"/>
      </patternFill>
    </fill>
    <fill>
      <patternFill patternType="solid">
        <fgColor theme="0" tint="-0.499984740745262"/>
        <bgColor indexed="64"/>
      </patternFill>
    </fill>
    <fill>
      <patternFill patternType="solid">
        <fgColor theme="1" tint="0.049989318521683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5">
    <border>
      <left/>
      <right/>
      <top/>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medium">
        <color auto="1"/>
      </bottom>
      <diagonal/>
    </border>
    <border>
      <left style="medium">
        <color auto="1"/>
      </left>
      <right/>
      <top/>
      <bottom/>
      <diagonal/>
    </border>
    <border>
      <left/>
      <right style="medium">
        <color auto="1"/>
      </right>
      <top/>
      <bottom/>
      <diagonal/>
    </border>
    <border>
      <left/>
      <right/>
      <top style="medium">
        <color auto="1"/>
      </top>
      <bottom/>
      <diagonal/>
    </border>
    <border>
      <left style="medium">
        <color auto="1"/>
      </left>
      <right/>
      <top style="medium">
        <color auto="1"/>
      </top>
      <bottom/>
      <diagonal/>
    </border>
    <border>
      <left/>
      <right style="medium">
        <color auto="1"/>
      </right>
      <top style="medium">
        <color auto="1"/>
      </top>
      <bottom/>
      <diagonal/>
    </border>
    <border>
      <left/>
      <right/>
      <top/>
      <bottom style="medium">
        <color auto="1"/>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bottom style="thin">
        <color auto="1"/>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style="medium">
        <color auto="1"/>
      </right>
      <top style="medium">
        <color auto="1"/>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6">
    <xf numFmtId="26"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26" fontId="32" fillId="0" borderId="0" applyNumberFormat="0" applyFill="0" applyBorder="0" applyAlignment="0" applyProtection="0"/>
    <xf numFmtId="26" fontId="33" fillId="0" borderId="0" applyNumberFormat="0" applyFill="0" applyBorder="0" applyAlignment="0" applyProtection="0">
      <alignment vertical="center"/>
    </xf>
    <xf numFmtId="26" fontId="0" fillId="20" borderId="27" applyNumberFormat="0" applyFont="0" applyAlignment="0" applyProtection="0">
      <alignment vertical="center"/>
    </xf>
    <xf numFmtId="26" fontId="34" fillId="0" borderId="0" applyNumberFormat="0" applyFill="0" applyBorder="0" applyAlignment="0" applyProtection="0">
      <alignment vertical="center"/>
    </xf>
    <xf numFmtId="26" fontId="35" fillId="0" borderId="0" applyNumberFormat="0" applyFill="0" applyBorder="0" applyAlignment="0" applyProtection="0">
      <alignment vertical="center"/>
    </xf>
    <xf numFmtId="26" fontId="36" fillId="0" borderId="0" applyNumberFormat="0" applyFill="0" applyBorder="0" applyAlignment="0" applyProtection="0">
      <alignment vertical="center"/>
    </xf>
    <xf numFmtId="26" fontId="37" fillId="0" borderId="28" applyNumberFormat="0" applyFill="0" applyAlignment="0" applyProtection="0">
      <alignment vertical="center"/>
    </xf>
    <xf numFmtId="26" fontId="38" fillId="0" borderId="28" applyNumberFormat="0" applyFill="0" applyAlignment="0" applyProtection="0">
      <alignment vertical="center"/>
    </xf>
    <xf numFmtId="26" fontId="39" fillId="0" borderId="29" applyNumberFormat="0" applyFill="0" applyAlignment="0" applyProtection="0">
      <alignment vertical="center"/>
    </xf>
    <xf numFmtId="26" fontId="39" fillId="0" borderId="0" applyNumberFormat="0" applyFill="0" applyBorder="0" applyAlignment="0" applyProtection="0">
      <alignment vertical="center"/>
    </xf>
    <xf numFmtId="26" fontId="40" fillId="21" borderId="30" applyNumberFormat="0" applyAlignment="0" applyProtection="0">
      <alignment vertical="center"/>
    </xf>
    <xf numFmtId="26" fontId="41" fillId="22" borderId="31" applyNumberFormat="0" applyAlignment="0" applyProtection="0">
      <alignment vertical="center"/>
    </xf>
    <xf numFmtId="26" fontId="42" fillId="22" borderId="30" applyNumberFormat="0" applyAlignment="0" applyProtection="0">
      <alignment vertical="center"/>
    </xf>
    <xf numFmtId="26" fontId="43" fillId="23" borderId="32" applyNumberFormat="0" applyAlignment="0" applyProtection="0">
      <alignment vertical="center"/>
    </xf>
    <xf numFmtId="26" fontId="44" fillId="0" borderId="33" applyNumberFormat="0" applyFill="0" applyAlignment="0" applyProtection="0">
      <alignment vertical="center"/>
    </xf>
    <xf numFmtId="26" fontId="45" fillId="0" borderId="34" applyNumberFormat="0" applyFill="0" applyAlignment="0" applyProtection="0">
      <alignment vertical="center"/>
    </xf>
    <xf numFmtId="26" fontId="46" fillId="24" borderId="0" applyNumberFormat="0" applyBorder="0" applyAlignment="0" applyProtection="0">
      <alignment vertical="center"/>
    </xf>
    <xf numFmtId="26" fontId="47" fillId="25" borderId="0" applyNumberFormat="0" applyBorder="0" applyAlignment="0" applyProtection="0">
      <alignment vertical="center"/>
    </xf>
    <xf numFmtId="26" fontId="48" fillId="26" borderId="0" applyNumberFormat="0" applyBorder="0" applyAlignment="0" applyProtection="0">
      <alignment vertical="center"/>
    </xf>
    <xf numFmtId="26" fontId="49" fillId="27" borderId="0" applyNumberFormat="0" applyBorder="0" applyAlignment="0" applyProtection="0">
      <alignment vertical="center"/>
    </xf>
    <xf numFmtId="26" fontId="50" fillId="28" borderId="0" applyNumberFormat="0" applyBorder="0" applyAlignment="0" applyProtection="0">
      <alignment vertical="center"/>
    </xf>
    <xf numFmtId="26" fontId="50" fillId="29" borderId="0" applyNumberFormat="0" applyBorder="0" applyAlignment="0" applyProtection="0">
      <alignment vertical="center"/>
    </xf>
    <xf numFmtId="26" fontId="49" fillId="30" borderId="0" applyNumberFormat="0" applyBorder="0" applyAlignment="0" applyProtection="0">
      <alignment vertical="center"/>
    </xf>
    <xf numFmtId="26" fontId="49" fillId="31" borderId="0" applyNumberFormat="0" applyBorder="0" applyAlignment="0" applyProtection="0">
      <alignment vertical="center"/>
    </xf>
    <xf numFmtId="26" fontId="50" fillId="11" borderId="0" applyNumberFormat="0" applyBorder="0" applyAlignment="0" applyProtection="0">
      <alignment vertical="center"/>
    </xf>
    <xf numFmtId="26" fontId="50" fillId="32" borderId="0" applyNumberFormat="0" applyBorder="0" applyAlignment="0" applyProtection="0">
      <alignment vertical="center"/>
    </xf>
    <xf numFmtId="26" fontId="49" fillId="33" borderId="0" applyNumberFormat="0" applyBorder="0" applyAlignment="0" applyProtection="0">
      <alignment vertical="center"/>
    </xf>
    <xf numFmtId="26" fontId="49" fillId="34" borderId="0" applyNumberFormat="0" applyBorder="0" applyAlignment="0" applyProtection="0">
      <alignment vertical="center"/>
    </xf>
    <xf numFmtId="26" fontId="50" fillId="35" borderId="0" applyNumberFormat="0" applyBorder="0" applyAlignment="0" applyProtection="0">
      <alignment vertical="center"/>
    </xf>
    <xf numFmtId="26" fontId="50" fillId="36" borderId="0" applyNumberFormat="0" applyBorder="0" applyAlignment="0" applyProtection="0">
      <alignment vertical="center"/>
    </xf>
    <xf numFmtId="26" fontId="49" fillId="37" borderId="0" applyNumberFormat="0" applyBorder="0" applyAlignment="0" applyProtection="0">
      <alignment vertical="center"/>
    </xf>
    <xf numFmtId="26" fontId="49" fillId="38" borderId="0" applyNumberFormat="0" applyBorder="0" applyAlignment="0" applyProtection="0">
      <alignment vertical="center"/>
    </xf>
    <xf numFmtId="26" fontId="50" fillId="39" borderId="0" applyNumberFormat="0" applyBorder="0" applyAlignment="0" applyProtection="0">
      <alignment vertical="center"/>
    </xf>
    <xf numFmtId="26" fontId="50" fillId="40" borderId="0" applyNumberFormat="0" applyBorder="0" applyAlignment="0" applyProtection="0">
      <alignment vertical="center"/>
    </xf>
    <xf numFmtId="26" fontId="49" fillId="41" borderId="0" applyNumberFormat="0" applyBorder="0" applyAlignment="0" applyProtection="0">
      <alignment vertical="center"/>
    </xf>
    <xf numFmtId="26" fontId="49" fillId="42" borderId="0" applyNumberFormat="0" applyBorder="0" applyAlignment="0" applyProtection="0">
      <alignment vertical="center"/>
    </xf>
    <xf numFmtId="26" fontId="50" fillId="43" borderId="0" applyNumberFormat="0" applyBorder="0" applyAlignment="0" applyProtection="0">
      <alignment vertical="center"/>
    </xf>
    <xf numFmtId="26" fontId="50" fillId="44" borderId="0" applyNumberFormat="0" applyBorder="0" applyAlignment="0" applyProtection="0">
      <alignment vertical="center"/>
    </xf>
    <xf numFmtId="26" fontId="49" fillId="45" borderId="0" applyNumberFormat="0" applyBorder="0" applyAlignment="0" applyProtection="0">
      <alignment vertical="center"/>
    </xf>
    <xf numFmtId="26" fontId="49" fillId="46" borderId="0" applyNumberFormat="0" applyBorder="0" applyAlignment="0" applyProtection="0">
      <alignment vertical="center"/>
    </xf>
    <xf numFmtId="26" fontId="50" fillId="47" borderId="0" applyNumberFormat="0" applyBorder="0" applyAlignment="0" applyProtection="0">
      <alignment vertical="center"/>
    </xf>
    <xf numFmtId="26" fontId="50" fillId="48" borderId="0" applyNumberFormat="0" applyBorder="0" applyAlignment="0" applyProtection="0">
      <alignment vertical="center"/>
    </xf>
    <xf numFmtId="26" fontId="49" fillId="49" borderId="0" applyNumberFormat="0" applyBorder="0" applyAlignment="0" applyProtection="0">
      <alignment vertical="center"/>
    </xf>
    <xf numFmtId="180" fontId="0" fillId="0" borderId="0" applyFont="0" applyFill="0" applyBorder="0" applyAlignment="0" applyProtection="0"/>
    <xf numFmtId="180" fontId="3" fillId="0" borderId="0" applyFont="0" applyFill="0" applyBorder="0" applyAlignment="0" applyProtection="0"/>
    <xf numFmtId="26" fontId="3" fillId="0" borderId="0"/>
    <xf numFmtId="26" fontId="0" fillId="0" borderId="0"/>
    <xf numFmtId="26" fontId="3" fillId="0" borderId="0"/>
    <xf numFmtId="26" fontId="3" fillId="0" borderId="0"/>
    <xf numFmtId="26" fontId="3" fillId="0" borderId="0"/>
  </cellStyleXfs>
  <cellXfs count="271">
    <xf numFmtId="26" fontId="0" fillId="0" borderId="0" xfId="0"/>
    <xf numFmtId="26" fontId="1" fillId="2" borderId="0" xfId="51" applyFont="1" applyFill="1" applyAlignment="1">
      <alignment horizontal="center"/>
    </xf>
    <xf numFmtId="26" fontId="2" fillId="0" borderId="0" xfId="51" applyFont="1" applyFill="1" applyAlignment="1">
      <alignment horizontal="center"/>
    </xf>
    <xf numFmtId="26" fontId="2" fillId="3" borderId="0" xfId="51" applyFont="1" applyFill="1" applyAlignment="1">
      <alignment horizontal="center"/>
    </xf>
    <xf numFmtId="26" fontId="3" fillId="0" borderId="0" xfId="51"/>
    <xf numFmtId="26" fontId="2" fillId="4" borderId="0" xfId="51" applyFont="1" applyFill="1" applyAlignment="1">
      <alignment horizontal="center"/>
    </xf>
    <xf numFmtId="26" fontId="2" fillId="5" borderId="0" xfId="51" applyFont="1" applyFill="1" applyAlignment="1">
      <alignment horizontal="center"/>
    </xf>
    <xf numFmtId="26" fontId="2" fillId="0" borderId="0" xfId="51" applyFont="1"/>
    <xf numFmtId="26" fontId="2" fillId="0" borderId="0" xfId="51" applyFont="1" applyAlignment="1">
      <alignment horizontal="center"/>
    </xf>
    <xf numFmtId="26" fontId="3" fillId="0" borderId="0" xfId="51" applyFont="1"/>
    <xf numFmtId="26" fontId="0" fillId="6" borderId="0" xfId="0" applyFill="1"/>
    <xf numFmtId="181" fontId="0" fillId="7" borderId="0" xfId="0" applyNumberFormat="1" applyFill="1"/>
    <xf numFmtId="26" fontId="0" fillId="7" borderId="0" xfId="0" applyFill="1"/>
    <xf numFmtId="26" fontId="0" fillId="0" borderId="0" xfId="0" applyFill="1"/>
    <xf numFmtId="26" fontId="4" fillId="0" borderId="0" xfId="0" applyFont="1"/>
    <xf numFmtId="26" fontId="0" fillId="8" borderId="0" xfId="0" applyFill="1"/>
    <xf numFmtId="26" fontId="5" fillId="0" borderId="0" xfId="0" applyFont="1"/>
    <xf numFmtId="26" fontId="6" fillId="0" borderId="0" xfId="0" applyFont="1"/>
    <xf numFmtId="2" fontId="0" fillId="0" borderId="0" xfId="0" applyNumberFormat="1" applyBorder="1"/>
    <xf numFmtId="26" fontId="6" fillId="7" borderId="0" xfId="0" applyFont="1" applyFill="1" applyAlignment="1">
      <alignment horizontal="center"/>
    </xf>
    <xf numFmtId="26" fontId="2" fillId="0" borderId="0" xfId="51" applyFont="1" applyFill="1" applyAlignment="1">
      <alignment horizontal="right"/>
    </xf>
    <xf numFmtId="26" fontId="3" fillId="0" borderId="0" xfId="51" applyFont="1" applyFill="1" applyAlignment="1">
      <alignment horizontal="center"/>
    </xf>
    <xf numFmtId="26" fontId="2" fillId="0" borderId="0" xfId="51" applyFont="1" applyFill="1" applyAlignment="1">
      <alignment horizontal="left"/>
    </xf>
    <xf numFmtId="26" fontId="0" fillId="0" borderId="1" xfId="0" applyBorder="1"/>
    <xf numFmtId="26" fontId="0" fillId="0" borderId="2" xfId="0" applyBorder="1"/>
    <xf numFmtId="26" fontId="6" fillId="0" borderId="3" xfId="0" applyFont="1" applyBorder="1" applyAlignment="1">
      <alignment horizontal="center"/>
    </xf>
    <xf numFmtId="26" fontId="6" fillId="0" borderId="2" xfId="0" applyFont="1" applyBorder="1" applyAlignment="1">
      <alignment horizontal="center"/>
    </xf>
    <xf numFmtId="26" fontId="6" fillId="0" borderId="1" xfId="0" applyFont="1" applyBorder="1" applyAlignment="1">
      <alignment horizontal="center"/>
    </xf>
    <xf numFmtId="26" fontId="6" fillId="0" borderId="4" xfId="0" applyFont="1" applyBorder="1" applyAlignment="1">
      <alignment horizontal="center"/>
    </xf>
    <xf numFmtId="26" fontId="6" fillId="0" borderId="0" xfId="0" applyFont="1" applyBorder="1" applyAlignment="1">
      <alignment horizontal="center"/>
    </xf>
    <xf numFmtId="26" fontId="0" fillId="0" borderId="4" xfId="0" applyBorder="1"/>
    <xf numFmtId="26" fontId="0" fillId="0" borderId="5" xfId="0" applyBorder="1"/>
    <xf numFmtId="26" fontId="0" fillId="0" borderId="0" xfId="0" applyBorder="1"/>
    <xf numFmtId="26" fontId="3" fillId="0" borderId="0" xfId="51" applyBorder="1" applyAlignment="1">
      <alignment horizontal="center"/>
    </xf>
    <xf numFmtId="26" fontId="0" fillId="0" borderId="0" xfId="0" applyBorder="1" applyAlignment="1">
      <alignment horizontal="center"/>
    </xf>
    <xf numFmtId="26" fontId="0" fillId="0" borderId="4" xfId="0" applyBorder="1" applyAlignment="1">
      <alignment horizontal="center"/>
    </xf>
    <xf numFmtId="26" fontId="0" fillId="0" borderId="5" xfId="0" applyBorder="1" applyAlignment="1">
      <alignment horizontal="center"/>
    </xf>
    <xf numFmtId="26" fontId="0" fillId="0" borderId="6" xfId="0" applyBorder="1" applyAlignment="1">
      <alignment horizontal="center"/>
    </xf>
    <xf numFmtId="26" fontId="0" fillId="0" borderId="7" xfId="0" applyBorder="1" applyAlignment="1">
      <alignment horizontal="center"/>
    </xf>
    <xf numFmtId="26" fontId="0" fillId="0" borderId="8" xfId="0" applyBorder="1" applyAlignment="1">
      <alignment horizontal="center"/>
    </xf>
    <xf numFmtId="26" fontId="0" fillId="0" borderId="0" xfId="0" applyAlignment="1">
      <alignment horizontal="center"/>
    </xf>
    <xf numFmtId="26" fontId="2" fillId="0" borderId="0" xfId="51" applyFont="1" applyFill="1"/>
    <xf numFmtId="26" fontId="3" fillId="0" borderId="0" xfId="51" applyBorder="1"/>
    <xf numFmtId="26" fontId="3" fillId="0" borderId="0" xfId="51" applyFill="1" applyBorder="1"/>
    <xf numFmtId="26" fontId="3" fillId="0" borderId="4" xfId="51" applyFill="1" applyBorder="1"/>
    <xf numFmtId="26" fontId="3" fillId="0" borderId="5" xfId="51" applyFill="1" applyBorder="1"/>
    <xf numFmtId="26" fontId="3" fillId="0" borderId="0" xfId="51" applyFont="1" applyFill="1" applyBorder="1"/>
    <xf numFmtId="26" fontId="3" fillId="0" borderId="9" xfId="51" applyFont="1" applyBorder="1"/>
    <xf numFmtId="26" fontId="3" fillId="0" borderId="10" xfId="51" applyFill="1" applyBorder="1"/>
    <xf numFmtId="26" fontId="3" fillId="0" borderId="9" xfId="51" applyFill="1" applyBorder="1"/>
    <xf numFmtId="26" fontId="3" fillId="0" borderId="11" xfId="51" applyFill="1" applyBorder="1"/>
    <xf numFmtId="182" fontId="3" fillId="0" borderId="3" xfId="51" applyNumberFormat="1" applyBorder="1"/>
    <xf numFmtId="26" fontId="3" fillId="0" borderId="3" xfId="51" applyBorder="1"/>
    <xf numFmtId="26" fontId="0" fillId="0" borderId="3" xfId="0" applyBorder="1"/>
    <xf numFmtId="26" fontId="3" fillId="0" borderId="1" xfId="51" applyBorder="1"/>
    <xf numFmtId="182" fontId="0" fillId="0" borderId="3" xfId="0" applyNumberFormat="1" applyBorder="1"/>
    <xf numFmtId="26" fontId="7" fillId="0" borderId="0" xfId="51" applyFont="1"/>
    <xf numFmtId="26" fontId="0" fillId="0" borderId="7" xfId="0" applyBorder="1"/>
    <xf numFmtId="1" fontId="0" fillId="0" borderId="8" xfId="0" applyNumberFormat="1" applyBorder="1"/>
    <xf numFmtId="182" fontId="3" fillId="0" borderId="6" xfId="51" applyNumberFormat="1" applyBorder="1"/>
    <xf numFmtId="26" fontId="3" fillId="0" borderId="6" xfId="51" applyBorder="1"/>
    <xf numFmtId="26" fontId="0" fillId="0" borderId="6" xfId="0" applyBorder="1"/>
    <xf numFmtId="26" fontId="3" fillId="0" borderId="7" xfId="51" applyBorder="1"/>
    <xf numFmtId="182" fontId="0" fillId="0" borderId="6" xfId="0" applyNumberFormat="1" applyBorder="1"/>
    <xf numFmtId="26" fontId="0" fillId="0" borderId="8" xfId="0" applyBorder="1"/>
    <xf numFmtId="1" fontId="0" fillId="0" borderId="5" xfId="0" applyNumberFormat="1" applyBorder="1"/>
    <xf numFmtId="182" fontId="3" fillId="0" borderId="0" xfId="51" applyNumberFormat="1" applyBorder="1"/>
    <xf numFmtId="26" fontId="3" fillId="0" borderId="4" xfId="51" applyBorder="1"/>
    <xf numFmtId="182" fontId="0" fillId="0" borderId="0" xfId="0" applyNumberFormat="1" applyBorder="1"/>
    <xf numFmtId="26" fontId="0" fillId="0" borderId="10" xfId="0" applyBorder="1"/>
    <xf numFmtId="1" fontId="0" fillId="0" borderId="11" xfId="0" applyNumberFormat="1" applyBorder="1"/>
    <xf numFmtId="182" fontId="3" fillId="0" borderId="9" xfId="51" applyNumberFormat="1" applyBorder="1"/>
    <xf numFmtId="26" fontId="3" fillId="0" borderId="9" xfId="51" applyBorder="1"/>
    <xf numFmtId="26" fontId="0" fillId="0" borderId="9" xfId="0" applyBorder="1"/>
    <xf numFmtId="26" fontId="3" fillId="0" borderId="10" xfId="51" applyBorder="1"/>
    <xf numFmtId="182" fontId="0" fillId="0" borderId="9" xfId="0" applyNumberFormat="1" applyBorder="1"/>
    <xf numFmtId="26" fontId="0" fillId="0" borderId="11" xfId="0" applyBorder="1"/>
    <xf numFmtId="26" fontId="0" fillId="9" borderId="0" xfId="0" applyFill="1"/>
    <xf numFmtId="2" fontId="0" fillId="0" borderId="0" xfId="0" applyNumberFormat="1"/>
    <xf numFmtId="26" fontId="8" fillId="0" borderId="0" xfId="0" applyFont="1"/>
    <xf numFmtId="26" fontId="0" fillId="0" borderId="0" xfId="0" applyProtection="1">
      <protection hidden="1"/>
    </xf>
    <xf numFmtId="2" fontId="0" fillId="0" borderId="1" xfId="0" applyNumberFormat="1" applyBorder="1"/>
    <xf numFmtId="2" fontId="0" fillId="0" borderId="4" xfId="0" applyNumberFormat="1" applyBorder="1"/>
    <xf numFmtId="2" fontId="0" fillId="0" borderId="10" xfId="0" applyNumberFormat="1" applyBorder="1"/>
    <xf numFmtId="26" fontId="3" fillId="0" borderId="9" xfId="51" applyFont="1" applyFill="1" applyBorder="1"/>
    <xf numFmtId="26" fontId="0" fillId="10" borderId="0" xfId="0" applyFill="1"/>
    <xf numFmtId="182" fontId="3" fillId="0" borderId="0" xfId="51" applyNumberFormat="1"/>
    <xf numFmtId="26" fontId="9" fillId="0" borderId="0" xfId="0" applyFont="1"/>
    <xf numFmtId="182" fontId="0" fillId="7" borderId="0" xfId="0" applyNumberFormat="1" applyFill="1"/>
    <xf numFmtId="1" fontId="0" fillId="7" borderId="0" xfId="0" applyNumberFormat="1" applyFill="1"/>
    <xf numFmtId="2" fontId="0" fillId="7" borderId="0" xfId="0" applyNumberFormat="1" applyFill="1"/>
    <xf numFmtId="26" fontId="2" fillId="0" borderId="0" xfId="0" applyFont="1" applyBorder="1"/>
    <xf numFmtId="2" fontId="3" fillId="0" borderId="0" xfId="0" applyNumberFormat="1" applyFont="1" applyBorder="1"/>
    <xf numFmtId="26" fontId="0" fillId="0" borderId="0" xfId="0" applyBorder="1" applyAlignment="1">
      <alignment horizontal="left"/>
    </xf>
    <xf numFmtId="26" fontId="2" fillId="0" borderId="0" xfId="0" applyFont="1" applyBorder="1" applyAlignment="1">
      <alignment horizontal="left"/>
    </xf>
    <xf numFmtId="182" fontId="0" fillId="0" borderId="0" xfId="0" applyNumberFormat="1"/>
    <xf numFmtId="26" fontId="0" fillId="0" borderId="12" xfId="0" applyBorder="1"/>
    <xf numFmtId="26" fontId="0" fillId="0" borderId="13" xfId="0" applyBorder="1" applyAlignment="1">
      <alignment horizontal="center"/>
    </xf>
    <xf numFmtId="26" fontId="0" fillId="0" borderId="14" xfId="0" applyBorder="1" applyAlignment="1">
      <alignment horizontal="center"/>
    </xf>
    <xf numFmtId="26" fontId="0" fillId="0" borderId="15" xfId="0" applyBorder="1" applyAlignment="1">
      <alignment horizontal="center"/>
    </xf>
    <xf numFmtId="26" fontId="0" fillId="0" borderId="13" xfId="0" applyBorder="1" applyAlignment="1">
      <alignment horizontal="center" wrapText="1"/>
    </xf>
    <xf numFmtId="26" fontId="0" fillId="0" borderId="14" xfId="0" applyBorder="1" applyAlignment="1">
      <alignment horizontal="center" wrapText="1"/>
    </xf>
    <xf numFmtId="26" fontId="0" fillId="0" borderId="15" xfId="0" applyBorder="1" applyAlignment="1">
      <alignment horizontal="center" wrapText="1"/>
    </xf>
    <xf numFmtId="26" fontId="0" fillId="0" borderId="14" xfId="0" applyBorder="1"/>
    <xf numFmtId="26" fontId="0" fillId="0" borderId="15" xfId="0" applyBorder="1"/>
    <xf numFmtId="26" fontId="0" fillId="0" borderId="16" xfId="0" applyBorder="1"/>
    <xf numFmtId="26" fontId="0" fillId="0" borderId="17" xfId="0" applyBorder="1"/>
    <xf numFmtId="26" fontId="0" fillId="0" borderId="18" xfId="0" applyBorder="1"/>
    <xf numFmtId="26" fontId="0" fillId="0" borderId="16" xfId="0" applyFill="1" applyBorder="1"/>
    <xf numFmtId="26" fontId="0" fillId="0" borderId="17" xfId="0" applyFill="1" applyBorder="1"/>
    <xf numFmtId="26" fontId="0" fillId="11" borderId="17" xfId="0" applyFill="1" applyBorder="1"/>
    <xf numFmtId="26" fontId="0" fillId="11" borderId="18" xfId="0" applyFill="1" applyBorder="1"/>
    <xf numFmtId="26" fontId="0" fillId="0" borderId="18" xfId="0" applyFill="1" applyBorder="1"/>
    <xf numFmtId="26" fontId="0" fillId="0" borderId="19" xfId="0" applyBorder="1"/>
    <xf numFmtId="26" fontId="0" fillId="0" borderId="20" xfId="0" applyBorder="1"/>
    <xf numFmtId="26" fontId="0" fillId="0" borderId="21" xfId="0" applyBorder="1"/>
    <xf numFmtId="26" fontId="10" fillId="0" borderId="0" xfId="51" applyFont="1" applyBorder="1"/>
    <xf numFmtId="26" fontId="2" fillId="0" borderId="0" xfId="51" applyFont="1" applyBorder="1"/>
    <xf numFmtId="26" fontId="2" fillId="0" borderId="0" xfId="51" applyFont="1" applyBorder="1" applyAlignment="1">
      <alignment horizontal="center"/>
    </xf>
    <xf numFmtId="2" fontId="0" fillId="8" borderId="0" xfId="0" applyNumberFormat="1" applyFill="1"/>
    <xf numFmtId="26" fontId="0" fillId="12" borderId="0" xfId="0" applyFill="1"/>
    <xf numFmtId="26" fontId="0" fillId="0" borderId="0" xfId="0" applyFont="1"/>
    <xf numFmtId="26" fontId="11" fillId="0" borderId="0" xfId="0" applyFont="1" applyFill="1" applyBorder="1"/>
    <xf numFmtId="26" fontId="12" fillId="0" borderId="0" xfId="0" applyFont="1" applyFill="1" applyBorder="1"/>
    <xf numFmtId="11" fontId="0" fillId="7" borderId="0" xfId="0" applyNumberFormat="1" applyFill="1"/>
    <xf numFmtId="26" fontId="13" fillId="0" borderId="0" xfId="0" applyFont="1"/>
    <xf numFmtId="26" fontId="0" fillId="6" borderId="0" xfId="0" applyFont="1" applyFill="1"/>
    <xf numFmtId="11" fontId="0" fillId="0" borderId="0" xfId="0" applyNumberFormat="1" applyFill="1"/>
    <xf numFmtId="11" fontId="14" fillId="8" borderId="0" xfId="0" applyNumberFormat="1" applyFont="1" applyFill="1"/>
    <xf numFmtId="11" fontId="14" fillId="0" borderId="0" xfId="0" applyNumberFormat="1" applyFont="1" applyFill="1"/>
    <xf numFmtId="26" fontId="15" fillId="0" borderId="0" xfId="0" applyFont="1"/>
    <xf numFmtId="183" fontId="0" fillId="7" borderId="0" xfId="0" applyNumberFormat="1" applyFill="1"/>
    <xf numFmtId="26" fontId="16" fillId="0" borderId="0" xfId="0" applyFont="1"/>
    <xf numFmtId="181" fontId="0" fillId="0" borderId="0" xfId="0" applyNumberFormat="1" applyFill="1"/>
    <xf numFmtId="182" fontId="0" fillId="0" borderId="0" xfId="0" applyNumberFormat="1" applyFill="1"/>
    <xf numFmtId="2" fontId="0" fillId="0" borderId="0" xfId="0" applyNumberFormat="1" applyFill="1"/>
    <xf numFmtId="184" fontId="0" fillId="7" borderId="0" xfId="0" applyNumberFormat="1" applyFill="1"/>
    <xf numFmtId="185" fontId="0" fillId="7" borderId="0" xfId="0" applyNumberFormat="1" applyFill="1"/>
    <xf numFmtId="26" fontId="14" fillId="8" borderId="0" xfId="0" applyFont="1" applyFill="1"/>
    <xf numFmtId="26" fontId="17" fillId="0" borderId="0" xfId="0" applyFont="1"/>
    <xf numFmtId="26" fontId="0" fillId="0" borderId="0" xfId="0" applyFill="1" applyBorder="1"/>
    <xf numFmtId="1" fontId="0" fillId="0" borderId="0" xfId="0" applyNumberFormat="1" applyFill="1"/>
    <xf numFmtId="26" fontId="5" fillId="0" borderId="0" xfId="0" applyFont="1" applyFill="1"/>
    <xf numFmtId="26" fontId="18" fillId="0" borderId="0" xfId="0" applyFont="1"/>
    <xf numFmtId="186" fontId="0" fillId="0" borderId="0" xfId="0" applyNumberFormat="1"/>
    <xf numFmtId="1" fontId="0" fillId="0" borderId="0" xfId="0" applyNumberFormat="1"/>
    <xf numFmtId="187" fontId="0" fillId="7" borderId="0" xfId="0" applyNumberFormat="1" applyFill="1"/>
    <xf numFmtId="26" fontId="14" fillId="0" borderId="0" xfId="0" applyFont="1"/>
    <xf numFmtId="26" fontId="3" fillId="0" borderId="0" xfId="51" applyFont="1" applyFill="1" applyBorder="1" applyAlignment="1" applyProtection="1">
      <alignment horizontal="left"/>
    </xf>
    <xf numFmtId="26" fontId="3" fillId="0" borderId="9" xfId="51" applyFont="1" applyFill="1" applyBorder="1" applyAlignment="1" applyProtection="1">
      <alignment horizontal="left"/>
    </xf>
    <xf numFmtId="26" fontId="19" fillId="13" borderId="0" xfId="0" applyFont="1" applyFill="1" applyAlignment="1">
      <alignment horizontal="center"/>
    </xf>
    <xf numFmtId="26" fontId="19" fillId="13" borderId="0" xfId="0" applyFont="1" applyFill="1" applyAlignment="1">
      <alignment horizontal="left"/>
    </xf>
    <xf numFmtId="26" fontId="19" fillId="13" borderId="0" xfId="0" applyFont="1" applyFill="1"/>
    <xf numFmtId="26" fontId="19" fillId="14" borderId="0" xfId="0" applyFont="1" applyFill="1" applyAlignment="1">
      <alignment horizontal="center"/>
    </xf>
    <xf numFmtId="26" fontId="20" fillId="13" borderId="0" xfId="0" applyFont="1" applyFill="1" applyAlignment="1">
      <alignment horizontal="center"/>
    </xf>
    <xf numFmtId="49" fontId="20" fillId="13" borderId="0" xfId="0" applyNumberFormat="1" applyFont="1" applyFill="1" applyAlignment="1">
      <alignment horizontal="left"/>
    </xf>
    <xf numFmtId="26" fontId="21" fillId="13" borderId="0" xfId="0" applyFont="1" applyFill="1"/>
    <xf numFmtId="26" fontId="22" fillId="13" borderId="0" xfId="6" applyFont="1" applyFill="1" applyBorder="1" applyAlignment="1">
      <alignment vertical="center"/>
    </xf>
    <xf numFmtId="26" fontId="22" fillId="13" borderId="0" xfId="6" applyFont="1" applyFill="1" applyBorder="1" applyAlignment="1">
      <alignment horizontal="right" vertical="center"/>
    </xf>
    <xf numFmtId="26" fontId="20" fillId="13" borderId="0" xfId="0" applyFont="1" applyFill="1" applyAlignment="1">
      <alignment horizontal="left"/>
    </xf>
    <xf numFmtId="26" fontId="21" fillId="13" borderId="0" xfId="0" applyFont="1" applyFill="1" applyAlignment="1">
      <alignment horizontal="center"/>
    </xf>
    <xf numFmtId="26" fontId="3" fillId="13" borderId="0" xfId="0" applyFont="1" applyFill="1" applyAlignment="1"/>
    <xf numFmtId="26" fontId="23" fillId="13" borderId="0" xfId="0" applyFont="1" applyFill="1" applyAlignment="1">
      <alignment horizontal="center"/>
    </xf>
    <xf numFmtId="26" fontId="23" fillId="15" borderId="0" xfId="0" applyFont="1" applyFill="1" applyAlignment="1">
      <alignment horizontal="left"/>
    </xf>
    <xf numFmtId="26" fontId="21" fillId="13" borderId="0" xfId="0" applyFont="1" applyFill="1" applyAlignment="1">
      <alignment horizontal="left"/>
    </xf>
    <xf numFmtId="49" fontId="21" fillId="13" borderId="0" xfId="0" applyNumberFormat="1" applyFont="1" applyFill="1" applyAlignment="1">
      <alignment horizontal="center"/>
    </xf>
    <xf numFmtId="26" fontId="21" fillId="13" borderId="0" xfId="0" applyFont="1" applyFill="1" applyAlignment="1">
      <alignment wrapText="1"/>
    </xf>
    <xf numFmtId="26" fontId="24" fillId="13" borderId="0" xfId="6" applyFont="1" applyFill="1" applyBorder="1" applyAlignment="1">
      <alignment vertical="center"/>
    </xf>
    <xf numFmtId="26" fontId="0" fillId="16" borderId="0" xfId="0" applyFill="1" applyBorder="1" applyProtection="1">
      <protection hidden="1"/>
    </xf>
    <xf numFmtId="26" fontId="0" fillId="16" borderId="22" xfId="0" applyFill="1" applyBorder="1" applyProtection="1">
      <protection hidden="1"/>
    </xf>
    <xf numFmtId="26" fontId="0" fillId="16" borderId="0" xfId="0" applyFill="1" applyProtection="1">
      <protection hidden="1"/>
    </xf>
    <xf numFmtId="26" fontId="0" fillId="16" borderId="0" xfId="0" applyFill="1" applyAlignment="1" applyProtection="1">
      <alignment horizontal="right"/>
      <protection hidden="1"/>
    </xf>
    <xf numFmtId="26" fontId="14" fillId="16" borderId="0" xfId="0" applyFont="1" applyFill="1" applyProtection="1">
      <protection hidden="1"/>
    </xf>
    <xf numFmtId="26" fontId="0" fillId="17" borderId="0" xfId="0" applyFill="1" applyProtection="1">
      <protection hidden="1"/>
    </xf>
    <xf numFmtId="26" fontId="25" fillId="17" borderId="0" xfId="0" applyFont="1" applyFill="1" applyAlignment="1" applyProtection="1">
      <alignment horizontal="left" vertical="center"/>
      <protection hidden="1"/>
    </xf>
    <xf numFmtId="26" fontId="0" fillId="17" borderId="0" xfId="0" applyFill="1" applyAlignment="1" applyProtection="1">
      <alignment horizontal="right"/>
      <protection hidden="1"/>
    </xf>
    <xf numFmtId="26" fontId="0" fillId="17" borderId="0" xfId="0" applyFill="1" applyBorder="1" applyProtection="1">
      <protection hidden="1"/>
    </xf>
    <xf numFmtId="26" fontId="14" fillId="18" borderId="0" xfId="0" applyFont="1" applyFill="1" applyProtection="1">
      <protection hidden="1"/>
    </xf>
    <xf numFmtId="26" fontId="0" fillId="18" borderId="0" xfId="0" applyFill="1" applyBorder="1" applyProtection="1">
      <protection hidden="1"/>
    </xf>
    <xf numFmtId="26" fontId="0" fillId="18" borderId="0" xfId="0" applyFill="1" applyBorder="1" applyAlignment="1" applyProtection="1">
      <alignment horizontal="right"/>
      <protection hidden="1"/>
    </xf>
    <xf numFmtId="26" fontId="14" fillId="18" borderId="0" xfId="0" applyFont="1" applyFill="1" applyBorder="1" applyProtection="1">
      <protection hidden="1"/>
    </xf>
    <xf numFmtId="26" fontId="26" fillId="18" borderId="0" xfId="0" applyFont="1" applyFill="1" applyBorder="1" applyProtection="1">
      <protection hidden="1"/>
    </xf>
    <xf numFmtId="26" fontId="0" fillId="12" borderId="0" xfId="0" applyFill="1" applyBorder="1" applyProtection="1">
      <protection hidden="1"/>
    </xf>
    <xf numFmtId="26" fontId="27" fillId="18" borderId="0" xfId="6" applyFont="1" applyFill="1" applyBorder="1" applyAlignment="1" applyProtection="1">
      <alignment horizontal="right"/>
      <protection locked="0"/>
    </xf>
    <xf numFmtId="26" fontId="0" fillId="18" borderId="22" xfId="0" applyFill="1" applyBorder="1" applyProtection="1">
      <protection hidden="1"/>
    </xf>
    <xf numFmtId="26" fontId="0" fillId="18" borderId="22" xfId="0" applyFill="1" applyBorder="1" applyAlignment="1" applyProtection="1">
      <alignment horizontal="right"/>
      <protection hidden="1"/>
    </xf>
    <xf numFmtId="26" fontId="14" fillId="18" borderId="22" xfId="0" applyFont="1" applyFill="1" applyBorder="1" applyProtection="1">
      <protection hidden="1"/>
    </xf>
    <xf numFmtId="26" fontId="0" fillId="13" borderId="0" xfId="0" applyFill="1" applyProtection="1">
      <protection hidden="1"/>
    </xf>
    <xf numFmtId="26" fontId="0" fillId="13" borderId="0" xfId="0" applyFill="1" applyAlignment="1" applyProtection="1">
      <alignment horizontal="right"/>
      <protection hidden="1"/>
    </xf>
    <xf numFmtId="49" fontId="0" fillId="13" borderId="0" xfId="0" applyNumberFormat="1" applyFill="1" applyProtection="1">
      <protection hidden="1"/>
    </xf>
    <xf numFmtId="26" fontId="0" fillId="13" borderId="0" xfId="0" applyFill="1" applyBorder="1" applyProtection="1">
      <protection hidden="1"/>
    </xf>
    <xf numFmtId="26" fontId="11" fillId="13" borderId="0" xfId="0" applyFont="1" applyFill="1" applyProtection="1">
      <protection hidden="1"/>
    </xf>
    <xf numFmtId="26" fontId="0" fillId="13" borderId="7" xfId="0" applyFill="1" applyBorder="1" applyProtection="1">
      <protection hidden="1"/>
    </xf>
    <xf numFmtId="26" fontId="0" fillId="13" borderId="6" xfId="0" applyFill="1" applyBorder="1" applyProtection="1">
      <protection hidden="1"/>
    </xf>
    <xf numFmtId="26" fontId="28" fillId="13" borderId="6" xfId="51" applyFont="1" applyFill="1" applyBorder="1" applyAlignment="1" applyProtection="1">
      <alignment horizontal="right"/>
      <protection hidden="1"/>
    </xf>
    <xf numFmtId="26" fontId="0" fillId="12" borderId="23" xfId="0" applyFill="1" applyBorder="1" applyProtection="1">
      <protection locked="0"/>
    </xf>
    <xf numFmtId="26" fontId="0" fillId="13" borderId="8" xfId="0" applyFill="1" applyBorder="1" applyProtection="1">
      <protection hidden="1"/>
    </xf>
    <xf numFmtId="26" fontId="0" fillId="13" borderId="4" xfId="0" applyFill="1" applyBorder="1" applyProtection="1">
      <protection hidden="1"/>
    </xf>
    <xf numFmtId="26" fontId="28" fillId="13" borderId="0" xfId="51" applyFont="1" applyFill="1" applyBorder="1" applyAlignment="1" applyProtection="1">
      <alignment horizontal="right"/>
      <protection hidden="1"/>
    </xf>
    <xf numFmtId="26" fontId="0" fillId="12" borderId="24" xfId="0" applyFill="1" applyBorder="1" applyProtection="1">
      <protection locked="0"/>
    </xf>
    <xf numFmtId="26" fontId="0" fillId="13" borderId="5" xfId="0" applyFill="1" applyBorder="1" applyProtection="1">
      <protection hidden="1"/>
    </xf>
    <xf numFmtId="2" fontId="0" fillId="13" borderId="24" xfId="0" applyNumberFormat="1" applyFill="1" applyBorder="1" applyProtection="1">
      <protection hidden="1"/>
    </xf>
    <xf numFmtId="26" fontId="0" fillId="13" borderId="24" xfId="0" applyFill="1" applyBorder="1" applyProtection="1">
      <protection hidden="1"/>
    </xf>
    <xf numFmtId="26" fontId="28" fillId="13" borderId="4" xfId="0" applyFont="1" applyFill="1" applyBorder="1" applyProtection="1">
      <protection hidden="1"/>
    </xf>
    <xf numFmtId="26" fontId="28" fillId="13" borderId="0" xfId="0" applyFont="1" applyFill="1" applyBorder="1" applyProtection="1">
      <protection hidden="1"/>
    </xf>
    <xf numFmtId="26" fontId="28" fillId="13" borderId="0" xfId="0" applyFont="1" applyFill="1" applyBorder="1" applyAlignment="1" applyProtection="1">
      <alignment horizontal="right"/>
      <protection hidden="1"/>
    </xf>
    <xf numFmtId="186" fontId="0" fillId="13" borderId="24" xfId="0" applyNumberFormat="1" applyFill="1" applyBorder="1" applyProtection="1">
      <protection hidden="1"/>
    </xf>
    <xf numFmtId="26" fontId="28" fillId="13" borderId="10" xfId="0" applyFont="1" applyFill="1" applyBorder="1" applyProtection="1">
      <protection hidden="1"/>
    </xf>
    <xf numFmtId="26" fontId="28" fillId="13" borderId="9" xfId="0" applyFont="1" applyFill="1" applyBorder="1" applyProtection="1">
      <protection hidden="1"/>
    </xf>
    <xf numFmtId="26" fontId="0" fillId="13" borderId="9" xfId="0" applyFill="1" applyBorder="1" applyProtection="1">
      <protection hidden="1"/>
    </xf>
    <xf numFmtId="26" fontId="28" fillId="13" borderId="9" xfId="0" applyFont="1" applyFill="1" applyBorder="1" applyAlignment="1" applyProtection="1">
      <alignment horizontal="right"/>
      <protection hidden="1"/>
    </xf>
    <xf numFmtId="186" fontId="0" fillId="13" borderId="25" xfId="0" applyNumberFormat="1" applyFill="1" applyBorder="1" applyProtection="1">
      <protection hidden="1"/>
    </xf>
    <xf numFmtId="26" fontId="0" fillId="13" borderId="11" xfId="0" applyFill="1" applyBorder="1" applyProtection="1">
      <protection hidden="1"/>
    </xf>
    <xf numFmtId="26" fontId="28" fillId="13" borderId="0" xfId="0" applyFont="1" applyFill="1" applyProtection="1">
      <protection hidden="1"/>
    </xf>
    <xf numFmtId="26" fontId="11" fillId="13" borderId="0" xfId="0" applyFont="1" applyFill="1" applyBorder="1" applyProtection="1">
      <protection hidden="1"/>
    </xf>
    <xf numFmtId="26" fontId="11" fillId="13" borderId="7" xfId="0" applyFont="1" applyFill="1" applyBorder="1" applyProtection="1">
      <protection hidden="1"/>
    </xf>
    <xf numFmtId="26" fontId="28" fillId="13" borderId="6" xfId="0" applyFont="1" applyFill="1" applyBorder="1" applyProtection="1">
      <protection hidden="1"/>
    </xf>
    <xf numFmtId="26" fontId="28" fillId="13" borderId="6" xfId="0" applyFont="1" applyFill="1" applyBorder="1" applyAlignment="1" applyProtection="1">
      <alignment horizontal="right"/>
      <protection hidden="1"/>
    </xf>
    <xf numFmtId="26" fontId="6" fillId="13" borderId="23" xfId="0" applyFont="1" applyFill="1" applyBorder="1" applyAlignment="1" applyProtection="1">
      <alignment horizontal="center"/>
      <protection hidden="1"/>
    </xf>
    <xf numFmtId="2" fontId="0" fillId="0" borderId="24" xfId="0" applyNumberFormat="1" applyBorder="1" applyProtection="1">
      <protection hidden="1"/>
    </xf>
    <xf numFmtId="26" fontId="0" fillId="13" borderId="10" xfId="0" applyFill="1" applyBorder="1" applyProtection="1">
      <protection hidden="1"/>
    </xf>
    <xf numFmtId="26" fontId="28" fillId="13" borderId="9" xfId="51" applyFont="1" applyFill="1" applyBorder="1" applyAlignment="1" applyProtection="1">
      <alignment horizontal="right"/>
      <protection hidden="1"/>
    </xf>
    <xf numFmtId="2" fontId="0" fillId="0" borderId="25" xfId="0" applyNumberFormat="1" applyBorder="1" applyProtection="1">
      <protection hidden="1"/>
    </xf>
    <xf numFmtId="26" fontId="0" fillId="13" borderId="0" xfId="0" applyFill="1" applyBorder="1" applyAlignment="1" applyProtection="1">
      <alignment horizontal="right"/>
      <protection hidden="1"/>
    </xf>
    <xf numFmtId="1" fontId="0" fillId="13" borderId="24" xfId="0" applyNumberFormat="1" applyFill="1" applyBorder="1" applyProtection="1">
      <protection hidden="1"/>
    </xf>
    <xf numFmtId="26" fontId="5" fillId="13" borderId="5" xfId="0" applyFont="1" applyFill="1" applyBorder="1" applyProtection="1">
      <protection hidden="1"/>
    </xf>
    <xf numFmtId="26" fontId="0" fillId="13" borderId="9" xfId="0" applyFill="1" applyBorder="1" applyAlignment="1" applyProtection="1">
      <alignment horizontal="right"/>
      <protection hidden="1"/>
    </xf>
    <xf numFmtId="2" fontId="0" fillId="13" borderId="25" xfId="0" applyNumberFormat="1" applyFill="1" applyBorder="1" applyProtection="1">
      <protection hidden="1"/>
    </xf>
    <xf numFmtId="26" fontId="5" fillId="13" borderId="11" xfId="0" applyFont="1" applyFill="1" applyBorder="1" applyProtection="1">
      <protection hidden="1"/>
    </xf>
    <xf numFmtId="26" fontId="0" fillId="13" borderId="6" xfId="0" applyFill="1" applyBorder="1" applyAlignment="1" applyProtection="1">
      <alignment horizontal="right"/>
      <protection hidden="1"/>
    </xf>
    <xf numFmtId="2" fontId="0" fillId="13" borderId="23" xfId="0" applyNumberFormat="1" applyFill="1" applyBorder="1" applyProtection="1">
      <protection hidden="1"/>
    </xf>
    <xf numFmtId="26" fontId="0" fillId="12" borderId="25" xfId="0" applyFill="1" applyBorder="1" applyProtection="1">
      <protection locked="0"/>
    </xf>
    <xf numFmtId="2" fontId="0" fillId="13" borderId="0" xfId="0" applyNumberFormat="1" applyFill="1" applyBorder="1" applyProtection="1">
      <protection hidden="1"/>
    </xf>
    <xf numFmtId="1" fontId="0" fillId="13" borderId="0" xfId="0" applyNumberFormat="1" applyFill="1" applyBorder="1" applyProtection="1">
      <protection hidden="1"/>
    </xf>
    <xf numFmtId="26" fontId="29" fillId="13" borderId="0" xfId="0" applyFont="1" applyFill="1" applyProtection="1">
      <protection hidden="1"/>
    </xf>
    <xf numFmtId="26" fontId="5" fillId="13" borderId="0" xfId="0" applyFont="1" applyFill="1" applyBorder="1" applyProtection="1">
      <protection hidden="1"/>
    </xf>
    <xf numFmtId="182" fontId="0" fillId="13" borderId="0" xfId="0" applyNumberFormat="1" applyFill="1" applyBorder="1" applyProtection="1">
      <protection hidden="1"/>
    </xf>
    <xf numFmtId="26" fontId="14" fillId="13" borderId="6" xfId="0" applyFont="1" applyFill="1" applyBorder="1" applyAlignment="1" applyProtection="1">
      <alignment horizontal="right"/>
      <protection hidden="1"/>
    </xf>
    <xf numFmtId="26" fontId="0" fillId="12" borderId="23" xfId="0" applyFont="1" applyFill="1" applyBorder="1" applyAlignment="1" applyProtection="1">
      <alignment vertical="top"/>
      <protection locked="0"/>
    </xf>
    <xf numFmtId="26" fontId="0" fillId="0" borderId="24" xfId="0" applyFont="1" applyFill="1" applyBorder="1" applyAlignment="1" applyProtection="1">
      <alignment vertical="top"/>
      <protection hidden="1"/>
    </xf>
    <xf numFmtId="26" fontId="11" fillId="13" borderId="4" xfId="0" applyFont="1" applyFill="1" applyBorder="1" applyProtection="1">
      <protection hidden="1"/>
    </xf>
    <xf numFmtId="26" fontId="6" fillId="13" borderId="0" xfId="0" applyFont="1" applyFill="1" applyBorder="1" applyAlignment="1" applyProtection="1">
      <alignment horizontal="right"/>
      <protection hidden="1"/>
    </xf>
    <xf numFmtId="182" fontId="0" fillId="13" borderId="24" xfId="0" applyNumberFormat="1" applyFill="1" applyBorder="1" applyProtection="1">
      <protection hidden="1"/>
    </xf>
    <xf numFmtId="26" fontId="0" fillId="13" borderId="0" xfId="0" applyFill="1" applyBorder="1" applyAlignment="1" applyProtection="1">
      <alignment horizontal="center"/>
      <protection hidden="1"/>
    </xf>
    <xf numFmtId="26" fontId="0" fillId="13" borderId="24" xfId="0" applyFill="1" applyBorder="1" applyAlignment="1" applyProtection="1">
      <alignment horizontal="center"/>
      <protection hidden="1"/>
    </xf>
    <xf numFmtId="26" fontId="0" fillId="13" borderId="5" xfId="0" applyFill="1" applyBorder="1" applyAlignment="1" applyProtection="1">
      <alignment horizontal="center"/>
      <protection hidden="1"/>
    </xf>
    <xf numFmtId="182" fontId="0" fillId="13" borderId="1" xfId="0" applyNumberFormat="1" applyFill="1" applyBorder="1" applyProtection="1">
      <protection hidden="1"/>
    </xf>
    <xf numFmtId="26" fontId="5" fillId="13" borderId="26" xfId="0" applyFont="1" applyFill="1" applyBorder="1" applyAlignment="1" applyProtection="1">
      <alignment horizontal="left"/>
      <protection hidden="1"/>
    </xf>
    <xf numFmtId="26" fontId="0" fillId="12" borderId="26" xfId="0" applyFill="1" applyBorder="1" applyProtection="1">
      <protection locked="0"/>
    </xf>
    <xf numFmtId="2" fontId="0" fillId="13" borderId="1" xfId="0" applyNumberFormat="1" applyFill="1" applyBorder="1" applyProtection="1">
      <protection hidden="1"/>
    </xf>
    <xf numFmtId="1" fontId="0" fillId="13" borderId="10" xfId="0" applyNumberFormat="1" applyFill="1" applyBorder="1" applyProtection="1">
      <protection hidden="1"/>
    </xf>
    <xf numFmtId="26" fontId="0" fillId="13" borderId="25" xfId="0" applyFill="1" applyBorder="1" applyAlignment="1" applyProtection="1">
      <alignment horizontal="left"/>
      <protection hidden="1"/>
    </xf>
    <xf numFmtId="1" fontId="0" fillId="13" borderId="0" xfId="0" applyNumberFormat="1" applyFill="1" applyProtection="1">
      <protection hidden="1"/>
    </xf>
    <xf numFmtId="26" fontId="0" fillId="0" borderId="0" xfId="0" applyFill="1" applyProtection="1">
      <protection hidden="1"/>
    </xf>
    <xf numFmtId="26" fontId="30" fillId="19" borderId="0" xfId="0" applyFont="1" applyFill="1" applyProtection="1">
      <protection hidden="1"/>
    </xf>
    <xf numFmtId="26" fontId="0" fillId="19" borderId="0" xfId="0" applyFill="1" applyProtection="1">
      <protection hidden="1"/>
    </xf>
    <xf numFmtId="26" fontId="0" fillId="19" borderId="0" xfId="0" applyFill="1" applyAlignment="1" applyProtection="1">
      <alignment horizontal="right"/>
      <protection hidden="1"/>
    </xf>
    <xf numFmtId="26" fontId="0" fillId="15" borderId="0" xfId="0" applyFill="1" applyProtection="1">
      <protection hidden="1"/>
    </xf>
    <xf numFmtId="26" fontId="0" fillId="15" borderId="0" xfId="0" applyFill="1" applyBorder="1" applyProtection="1">
      <protection hidden="1"/>
    </xf>
    <xf numFmtId="26" fontId="31" fillId="13" borderId="0" xfId="0" applyFont="1" applyFill="1" applyBorder="1" applyAlignment="1" applyProtection="1">
      <alignment horizontal="left"/>
      <protection hidden="1"/>
    </xf>
    <xf numFmtId="26" fontId="3" fillId="13" borderId="6" xfId="51" applyFont="1" applyFill="1" applyBorder="1" applyAlignment="1" applyProtection="1">
      <alignment horizontal="right"/>
      <protection hidden="1"/>
    </xf>
    <xf numFmtId="26" fontId="3" fillId="13" borderId="8" xfId="51" applyFont="1" applyFill="1" applyBorder="1" applyProtection="1">
      <protection hidden="1"/>
    </xf>
    <xf numFmtId="26" fontId="0" fillId="0" borderId="0" xfId="0" applyBorder="1" applyProtection="1">
      <protection hidden="1"/>
    </xf>
    <xf numFmtId="26" fontId="3" fillId="13" borderId="0" xfId="51" applyFont="1" applyFill="1" applyBorder="1" applyAlignment="1" applyProtection="1">
      <alignment horizontal="right"/>
      <protection hidden="1"/>
    </xf>
    <xf numFmtId="26" fontId="3" fillId="13" borderId="5" xfId="51" applyFont="1" applyFill="1" applyBorder="1" applyProtection="1">
      <protection hidden="1"/>
    </xf>
    <xf numFmtId="26" fontId="3" fillId="13" borderId="9" xfId="51" applyFont="1" applyFill="1" applyBorder="1" applyAlignment="1" applyProtection="1">
      <alignment horizontal="right"/>
      <protection hidden="1"/>
    </xf>
    <xf numFmtId="26" fontId="3" fillId="13" borderId="11" xfId="51" applyFont="1" applyFill="1" applyBorder="1" applyProtection="1">
      <protection hidden="1"/>
    </xf>
    <xf numFmtId="26" fontId="31" fillId="13" borderId="0" xfId="0" applyFont="1" applyFill="1" applyAlignment="1" applyProtection="1">
      <alignment horizontal="left"/>
      <protection hidden="1"/>
    </xf>
    <xf numFmtId="26" fontId="0" fillId="0" borderId="23" xfId="0" applyBorder="1" applyProtection="1">
      <protection hidden="1"/>
    </xf>
    <xf numFmtId="26" fontId="0" fillId="18" borderId="0" xfId="0" applyFill="1" applyProtection="1">
      <protection hidden="1"/>
    </xf>
    <xf numFmtId="26" fontId="0" fillId="18" borderId="0" xfId="0" applyFill="1" applyAlignment="1" applyProtection="1">
      <alignment horizontal="right"/>
      <protection hidden="1"/>
    </xf>
    <xf numFmtId="26" fontId="26" fillId="18" borderId="0" xfId="0" applyFont="1" applyFill="1" applyBorder="1" applyProtection="1" quotePrefix="1">
      <protection hidden="1"/>
    </xf>
  </cellXfs>
  <cellStyles count="56">
    <cellStyle name="Normalny" xfId="0" builtinId="0"/>
    <cellStyle name="Dziesiętny" xfId="1" builtinId="3"/>
    <cellStyle name="Walutowy" xfId="2" builtinId="4"/>
    <cellStyle name="Procentowy" xfId="3" builtinId="5"/>
    <cellStyle name="Przecinek [0]" xfId="4" builtinId="6"/>
    <cellStyle name="Waluta [0]" xfId="5" builtinId="7"/>
    <cellStyle name="Hiperłącze" xfId="6" builtinId="8"/>
    <cellStyle name="Użyte hiperłącze" xfId="7" builtinId="9"/>
    <cellStyle name="Uwaga" xfId="8" builtinId="10"/>
    <cellStyle name="Tekst ostrzeżenia" xfId="9" builtinId="11"/>
    <cellStyle name="Tytuł" xfId="10" builtinId="15"/>
    <cellStyle name="Tekst objaśnienia" xfId="11" builtinId="53"/>
    <cellStyle name="Nagłówek 1" xfId="12" builtinId="16"/>
    <cellStyle name="Nagłówek 2" xfId="13" builtinId="17"/>
    <cellStyle name="Nagłówek 3" xfId="14" builtinId="18"/>
    <cellStyle name="Nagłówek 4" xfId="15" builtinId="19"/>
    <cellStyle name="Dane wejściowe" xfId="16" builtinId="20"/>
    <cellStyle name="Dane wyjściowe" xfId="17" builtinId="21"/>
    <cellStyle name="Obliczenia" xfId="18" builtinId="22"/>
    <cellStyle name="Komórka zaznaczona" xfId="19" builtinId="23"/>
    <cellStyle name="Komórka połączona" xfId="20" builtinId="24"/>
    <cellStyle name="Suma" xfId="21" builtinId="25"/>
    <cellStyle name="Dobre" xfId="22" builtinId="26"/>
    <cellStyle name="Złe" xfId="23" builtinId="27"/>
    <cellStyle name="Neutralne" xfId="24" builtinId="28"/>
    <cellStyle name="Akcent 1" xfId="25" builtinId="29"/>
    <cellStyle name="20% - Akcent 1" xfId="26" builtinId="30"/>
    <cellStyle name="40% - Akcent 1" xfId="27" builtinId="31"/>
    <cellStyle name="60% - Akcent 1" xfId="28" builtinId="32"/>
    <cellStyle name="Akcent 2" xfId="29" builtinId="33"/>
    <cellStyle name="20% - Akcent 2" xfId="30" builtinId="34"/>
    <cellStyle name="40% - Akcent 2" xfId="31" builtinId="35"/>
    <cellStyle name="60% - Akcent 2" xfId="32" builtinId="36"/>
    <cellStyle name="Akcent 3" xfId="33" builtinId="37"/>
    <cellStyle name="20% - Akcent 3" xfId="34" builtinId="38"/>
    <cellStyle name="40% - Akcent 3" xfId="35" builtinId="39"/>
    <cellStyle name="60% - Akcent 3" xfId="36" builtinId="40"/>
    <cellStyle name="Akcent 4" xfId="37" builtinId="41"/>
    <cellStyle name="20% - Akcent 4" xfId="38" builtinId="42"/>
    <cellStyle name="40% - Akcent 4" xfId="39" builtinId="43"/>
    <cellStyle name="60% - Akcent 4" xfId="40" builtinId="44"/>
    <cellStyle name="Akcent 5" xfId="41" builtinId="45"/>
    <cellStyle name="20% - Akcent 5" xfId="42" builtinId="46"/>
    <cellStyle name="40% - Akcent 5" xfId="43" builtinId="47"/>
    <cellStyle name="60% - Akcent 5" xfId="44" builtinId="48"/>
    <cellStyle name="Akcent 6" xfId="45" builtinId="49"/>
    <cellStyle name="20% - Akcent 6" xfId="46" builtinId="50"/>
    <cellStyle name="40% - Akcent 6" xfId="47" builtinId="51"/>
    <cellStyle name="60% - Akcent 6" xfId="48" builtinId="52"/>
    <cellStyle name="Comma 2" xfId="49"/>
    <cellStyle name="Comma 3" xfId="50"/>
    <cellStyle name="Normal 2" xfId="51"/>
    <cellStyle name="Normal 3" xfId="52"/>
    <cellStyle name="Normal 4" xfId="53"/>
    <cellStyle name="Normal 4 2" xfId="54"/>
    <cellStyle name="Normal 4 3" xfId="55"/>
  </cellStyles>
  <dxfs count="3">
    <dxf>
      <fill>
        <patternFill patternType="solid">
          <bgColor rgb="FFFF0000"/>
        </patternFill>
      </fill>
    </dxf>
    <dxf>
      <font>
        <color rgb="FFFF0000"/>
      </font>
      <fill>
        <patternFill patternType="none"/>
      </fill>
    </dxf>
    <dxf>
      <fill>
        <patternFill patternType="solid">
          <bgColor rgb="FFFF0000"/>
        </patternFill>
      </fill>
    </dxf>
  </dxfs>
  <tableStyles count="0" defaultTableStyle="TableStyleMedium2" defaultPivotStyle="PivotStyleLight16"/>
  <colors>
    <mruColors>
      <color rgb="00EAEAEA"/>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customXml" Target="../customXml/item1.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600" b="1" i="0" u="none" strike="noStrike" kern="1200" baseline="0">
                <a:solidFill>
                  <a:schemeClr val="tx1"/>
                </a:solidFill>
                <a:latin typeface="+mn-lt"/>
                <a:ea typeface="+mn-ea"/>
                <a:cs typeface="+mn-cs"/>
              </a:defRPr>
            </a:pPr>
            <a:r>
              <a:rPr lang="en-US" sz="1600" baseline="0"/>
              <a:t>Bode Plot</a:t>
            </a:r>
            <a:endParaRPr lang="en-US" sz="1600" baseline="0"/>
          </a:p>
        </c:rich>
      </c:tx>
      <c:layout>
        <c:manualLayout>
          <c:xMode val="edge"/>
          <c:yMode val="edge"/>
          <c:x val="0.0943541571749534"/>
          <c:y val="0.00399160104986877"/>
        </c:manualLayout>
      </c:layout>
      <c:overlay val="0"/>
    </c:title>
    <c:autoTitleDeleted val="0"/>
    <c:plotArea>
      <c:layout>
        <c:manualLayout>
          <c:layoutTarget val="inner"/>
          <c:xMode val="edge"/>
          <c:yMode val="edge"/>
          <c:x val="0.0905940527204998"/>
          <c:y val="0.0891581080136939"/>
          <c:w val="0.809658767428918"/>
          <c:h val="0.76159168715027"/>
        </c:manualLayout>
      </c:layout>
      <c:scatterChart>
        <c:scatterStyle val="smooth"/>
        <c:varyColors val="0"/>
        <c:ser>
          <c:idx val="0"/>
          <c:order val="0"/>
          <c:tx>
            <c:strRef>
              <c:f>"Gain (dB)"</c:f>
              <c:strCache>
                <c:ptCount val="1"/>
                <c:pt idx="0">
                  <c:v>Gain (dB)</c:v>
                </c:pt>
              </c:strCache>
            </c:strRef>
          </c:tx>
          <c:spPr>
            <a:ln w="28575" cap="rnd" cmpd="sng" algn="ctr">
              <a:solidFill>
                <a:srgbClr val="FF0000"/>
              </a:solidFill>
              <a:prstDash val="solid"/>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Loop_Modeling!$BL$19:$BL$560</c:f>
              <c:numCache>
                <c:formatCode>General</c:formatCode>
                <c:ptCount val="542"/>
                <c:pt idx="0">
                  <c:v>57.5565005783383</c:v>
                </c:pt>
                <c:pt idx="1">
                  <c:v>57.3533098639314</c:v>
                </c:pt>
                <c:pt idx="2">
                  <c:v>57.1499716915306</c:v>
                </c:pt>
                <c:pt idx="3">
                  <c:v>56.9464793876224</c:v>
                </c:pt>
                <c:pt idx="4">
                  <c:v>56.7428259900299</c:v>
                </c:pt>
                <c:pt idx="5">
                  <c:v>56.5390042366909</c:v>
                </c:pt>
                <c:pt idx="6">
                  <c:v>56.3350065541203</c:v>
                </c:pt>
                <c:pt idx="7">
                  <c:v>56.1308250455625</c:v>
                </c:pt>
                <c:pt idx="8">
                  <c:v>55.9264514788351</c:v>
                </c:pt>
                <c:pt idx="9">
                  <c:v>55.7218772738761</c:v>
                </c:pt>
                <c:pt idx="10">
                  <c:v>55.517093489999</c:v>
                </c:pt>
                <c:pt idx="11">
                  <c:v>55.3120908128686</c:v>
                </c:pt>
                <c:pt idx="12">
                  <c:v>55.1068595412132</c:v>
                </c:pt>
                <c:pt idx="13">
                  <c:v>54.901389573285</c:v>
                </c:pt>
                <c:pt idx="14">
                  <c:v>54.6956703930925</c:v>
                </c:pt>
                <c:pt idx="15">
                  <c:v>54.4896910564236</c:v>
                </c:pt>
                <c:pt idx="16">
                  <c:v>54.2834401766877</c:v>
                </c:pt>
                <c:pt idx="17">
                  <c:v>54.0769059106039</c:v>
                </c:pt>
                <c:pt idx="18">
                  <c:v>53.8700759437711</c:v>
                </c:pt>
                <c:pt idx="19">
                  <c:v>53.6629374761552</c:v>
                </c:pt>
                <c:pt idx="20">
                  <c:v>53.4554772075381</c:v>
                </c:pt>
                <c:pt idx="21">
                  <c:v>53.2476813229741</c:v>
                </c:pt>
                <c:pt idx="22">
                  <c:v>53.0395354783067</c:v>
                </c:pt>
                <c:pt idx="23">
                  <c:v>52.8310247858045</c:v>
                </c:pt>
                <c:pt idx="24">
                  <c:v>52.6221337999799</c:v>
                </c:pt>
                <c:pt idx="25">
                  <c:v>52.4128465036607</c:v>
                </c:pt>
                <c:pt idx="26">
                  <c:v>52.2031462943932</c:v>
                </c:pt>
                <c:pt idx="27">
                  <c:v>51.9930159712586</c:v>
                </c:pt>
                <c:pt idx="28">
                  <c:v>51.7824377221964</c:v>
                </c:pt>
                <c:pt idx="29">
                  <c:v>51.5713931119326</c:v>
                </c:pt>
                <c:pt idx="30">
                  <c:v>51.3598630706197</c:v>
                </c:pt>
                <c:pt idx="31">
                  <c:v>51.1478278833039</c:v>
                </c:pt>
                <c:pt idx="32">
                  <c:v>50.9352671803427</c:v>
                </c:pt>
                <c:pt idx="33">
                  <c:v>50.7221599289046</c:v>
                </c:pt>
                <c:pt idx="34">
                  <c:v>50.5084844256916</c:v>
                </c:pt>
                <c:pt idx="35">
                  <c:v>50.2942182910336</c:v>
                </c:pt>
                <c:pt idx="36">
                  <c:v>50.0793384645122</c:v>
                </c:pt>
                <c:pt idx="37">
                  <c:v>49.8638212022802</c:v>
                </c:pt>
                <c:pt idx="38">
                  <c:v>49.647642076251</c:v>
                </c:pt>
                <c:pt idx="39">
                  <c:v>49.43077597534</c:v>
                </c:pt>
                <c:pt idx="40">
                  <c:v>49.2131971089479</c:v>
                </c:pt>
                <c:pt idx="41">
                  <c:v>48.9948790128826</c:v>
                </c:pt>
                <c:pt idx="42">
                  <c:v>48.7757945579208</c:v>
                </c:pt>
                <c:pt idx="43">
                  <c:v>48.5559159612186</c:v>
                </c:pt>
                <c:pt idx="44">
                  <c:v>48.3352148007801</c:v>
                </c:pt>
                <c:pt idx="45">
                  <c:v>48.1136620332016</c:v>
                </c:pt>
                <c:pt idx="46">
                  <c:v>47.8912280149028</c:v>
                </c:pt>
                <c:pt idx="47">
                  <c:v>47.6678825270621</c:v>
                </c:pt>
                <c:pt idx="48">
                  <c:v>47.4435948044673</c:v>
                </c:pt>
                <c:pt idx="49">
                  <c:v>47.2183335684904</c:v>
                </c:pt>
                <c:pt idx="50">
                  <c:v>46.9920670643841</c:v>
                </c:pt>
                <c:pt idx="51">
                  <c:v>46.7647631030953</c:v>
                </c:pt>
                <c:pt idx="52">
                  <c:v>46.5363891077696</c:v>
                </c:pt>
                <c:pt idx="53">
                  <c:v>46.3069121651137</c:v>
                </c:pt>
                <c:pt idx="54">
                  <c:v>46.0762990817588</c:v>
                </c:pt>
                <c:pt idx="55">
                  <c:v>45.8445164457478</c:v>
                </c:pt>
                <c:pt idx="56">
                  <c:v>45.6115306932442</c:v>
                </c:pt>
                <c:pt idx="57">
                  <c:v>45.3773081805335</c:v>
                </c:pt>
                <c:pt idx="58">
                  <c:v>45.1418152613506</c:v>
                </c:pt>
                <c:pt idx="59">
                  <c:v>44.905018369538</c:v>
                </c:pt>
                <c:pt idx="60">
                  <c:v>44.6668841069943</c:v>
                </c:pt>
                <c:pt idx="61">
                  <c:v>44.4273793368338</c:v>
                </c:pt>
                <c:pt idx="62">
                  <c:v>44.1864712816307</c:v>
                </c:pt>
                <c:pt idx="63">
                  <c:v>43.9441276265751</c:v>
                </c:pt>
                <c:pt idx="64">
                  <c:v>43.7003166273138</c:v>
                </c:pt>
                <c:pt idx="65">
                  <c:v>43.4550072222006</c:v>
                </c:pt>
                <c:pt idx="66">
                  <c:v>43.2081691486239</c:v>
                </c:pt>
                <c:pt idx="67">
                  <c:v>42.959773063024</c:v>
                </c:pt>
                <c:pt idx="68">
                  <c:v>42.7097906641611</c:v>
                </c:pt>
                <c:pt idx="69">
                  <c:v>42.4581948191354</c:v>
                </c:pt>
                <c:pt idx="70">
                  <c:v>42.2049596916131</c:v>
                </c:pt>
                <c:pt idx="71">
                  <c:v>41.9500608716559</c:v>
                </c:pt>
                <c:pt idx="72">
                  <c:v>41.6934755065085</c:v>
                </c:pt>
                <c:pt idx="73">
                  <c:v>41.4351824316524</c:v>
                </c:pt>
                <c:pt idx="74">
                  <c:v>41.1751623013956</c:v>
                </c:pt>
                <c:pt idx="75">
                  <c:v>40.9133977182368</c:v>
                </c:pt>
                <c:pt idx="76">
                  <c:v>40.6498733602138</c:v>
                </c:pt>
                <c:pt idx="77">
                  <c:v>40.384576105428</c:v>
                </c:pt>
                <c:pt idx="78">
                  <c:v>40.1174951529268</c:v>
                </c:pt>
                <c:pt idx="79">
                  <c:v>39.8486221391215</c:v>
                </c:pt>
                <c:pt idx="80">
                  <c:v>39.5779512489245</c:v>
                </c:pt>
                <c:pt idx="81">
                  <c:v>39.305479320808</c:v>
                </c:pt>
                <c:pt idx="82">
                  <c:v>39.0312059450082</c:v>
                </c:pt>
                <c:pt idx="83">
                  <c:v>38.7551335541335</c:v>
                </c:pt>
                <c:pt idx="84">
                  <c:v>38.4772675054802</c:v>
                </c:pt>
                <c:pt idx="85">
                  <c:v>38.1976161544087</c:v>
                </c:pt>
                <c:pt idx="86">
                  <c:v>37.9161909181912</c:v>
                </c:pt>
                <c:pt idx="87">
                  <c:v>37.6330063298124</c:v>
                </c:pt>
                <c:pt idx="88">
                  <c:v>37.3480800812713</c:v>
                </c:pt>
                <c:pt idx="89">
                  <c:v>37.0614330560143</c:v>
                </c:pt>
                <c:pt idx="90">
                  <c:v>36.773089350206</c:v>
                </c:pt>
                <c:pt idx="91">
                  <c:v>36.4830762826334</c:v>
                </c:pt>
                <c:pt idx="92">
                  <c:v>36.1914243931152</c:v>
                </c:pt>
                <c:pt idx="93">
                  <c:v>35.8981674293813</c:v>
                </c:pt>
                <c:pt idx="94">
                  <c:v>35.6033423224636</c:v>
                </c:pt>
                <c:pt idx="95">
                  <c:v>35.3069891507197</c:v>
                </c:pt>
                <c:pt idx="96">
                  <c:v>35.0091510926922</c:v>
                </c:pt>
                <c:pt idx="97">
                  <c:v>34.7098743690689</c:v>
                </c:pt>
                <c:pt idx="98">
                  <c:v>34.4092081740794</c:v>
                </c:pt>
                <c:pt idx="99">
                  <c:v>34.1072045967199</c:v>
                </c:pt>
                <c:pt idx="100">
                  <c:v>33.8039185322466</c:v>
                </c:pt>
                <c:pt idx="101">
                  <c:v>33.4994075844226</c:v>
                </c:pt>
                <c:pt idx="102">
                  <c:v>33.1937319590377</c:v>
                </c:pt>
                <c:pt idx="103">
                  <c:v>32.8869543492428</c:v>
                </c:pt>
                <c:pt idx="104">
                  <c:v>32.5791398132661</c:v>
                </c:pt>
                <c:pt idx="105">
                  <c:v>32.2703556450803</c:v>
                </c:pt>
                <c:pt idx="106">
                  <c:v>31.9606712386057</c:v>
                </c:pt>
                <c:pt idx="107">
                  <c:v>31.6501579460166</c:v>
                </c:pt>
                <c:pt idx="108">
                  <c:v>31.3388889307256</c:v>
                </c:pt>
                <c:pt idx="109">
                  <c:v>31.0269390155992</c:v>
                </c:pt>
                <c:pt idx="110">
                  <c:v>30.7143845269417</c:v>
                </c:pt>
                <c:pt idx="111">
                  <c:v>30.4013031347718</c:v>
                </c:pt>
                <c:pt idx="112">
                  <c:v>30.0877736898916</c:v>
                </c:pt>
                <c:pt idx="113">
                  <c:v>29.7738760582253</c:v>
                </c:pt>
                <c:pt idx="114">
                  <c:v>29.4596909528918</c:v>
                </c:pt>
                <c:pt idx="115">
                  <c:v>29.1452997644451</c:v>
                </c:pt>
                <c:pt idx="116">
                  <c:v>28.8307843897145</c:v>
                </c:pt>
                <c:pt idx="117">
                  <c:v>28.5162270596445</c:v>
                </c:pt>
                <c:pt idx="118">
                  <c:v>28.2017101665399</c:v>
                </c:pt>
                <c:pt idx="119">
                  <c:v>27.8873160911048</c:v>
                </c:pt>
                <c:pt idx="120">
                  <c:v>27.5731270296635</c:v>
                </c:pt>
                <c:pt idx="121">
                  <c:v>27.2592248219552</c:v>
                </c:pt>
                <c:pt idx="122">
                  <c:v>26.9456907798962</c:v>
                </c:pt>
                <c:pt idx="123">
                  <c:v>26.6326055177145</c:v>
                </c:pt>
                <c:pt idx="124">
                  <c:v>26.3200487838763</c:v>
                </c:pt>
                <c:pt idx="125">
                  <c:v>26.0080992952352</c:v>
                </c:pt>
                <c:pt idx="126">
                  <c:v>25.6968345738598</c:v>
                </c:pt>
                <c:pt idx="127">
                  <c:v>25.3863307870098</c:v>
                </c:pt>
                <c:pt idx="128">
                  <c:v>25.0766625907545</c:v>
                </c:pt>
                <c:pt idx="129">
                  <c:v>24.7679029777491</c:v>
                </c:pt>
                <c:pt idx="130">
                  <c:v>24.4601231297019</c:v>
                </c:pt>
                <c:pt idx="131">
                  <c:v>24.1533922750845</c:v>
                </c:pt>
                <c:pt idx="132">
                  <c:v>23.8477775526498</c:v>
                </c:pt>
                <c:pt idx="133">
                  <c:v>23.5433438813373</c:v>
                </c:pt>
                <c:pt idx="134">
                  <c:v>23.2401538371421</c:v>
                </c:pt>
                <c:pt idx="135">
                  <c:v>22.9382675375335</c:v>
                </c:pt>
                <c:pt idx="136">
                  <c:v>22.637742533992</c:v>
                </c:pt>
                <c:pt idx="137">
                  <c:v>22.3386337132258</c:v>
                </c:pt>
                <c:pt idx="138">
                  <c:v>22.0409932076012</c:v>
                </c:pt>
                <c:pt idx="139">
                  <c:v>21.7448703152918</c:v>
                </c:pt>
                <c:pt idx="140">
                  <c:v>21.4503114306154</c:v>
                </c:pt>
                <c:pt idx="141">
                  <c:v>21.1573599849753</c:v>
                </c:pt>
                <c:pt idx="142">
                  <c:v>20.8660563987749</c:v>
                </c:pt>
                <c:pt idx="143">
                  <c:v>20.5764380446092</c:v>
                </c:pt>
                <c:pt idx="144">
                  <c:v>20.288539221969</c:v>
                </c:pt>
                <c:pt idx="145">
                  <c:v>20.0023911436231</c:v>
                </c:pt>
                <c:pt idx="146">
                  <c:v>19.7180219337625</c:v>
                </c:pt>
                <c:pt idx="147">
                  <c:v>19.4354566379131</c:v>
                </c:pt>
                <c:pt idx="148">
                  <c:v>19.1547172445355</c:v>
                </c:pt>
                <c:pt idx="149">
                  <c:v>18.8758227181502</c:v>
                </c:pt>
                <c:pt idx="150">
                  <c:v>18.5987890437418</c:v>
                </c:pt>
                <c:pt idx="151">
                  <c:v>18.3236292821108</c:v>
                </c:pt>
                <c:pt idx="152">
                  <c:v>18.0503536357683</c:v>
                </c:pt>
                <c:pt idx="153">
                  <c:v>17.7789695248899</c:v>
                </c:pt>
                <c:pt idx="154">
                  <c:v>17.5094816727781</c:v>
                </c:pt>
                <c:pt idx="155">
                  <c:v>17.2418922002213</c:v>
                </c:pt>
                <c:pt idx="156">
                  <c:v>16.9762007280792</c:v>
                </c:pt>
                <c:pt idx="157">
                  <c:v>16.7124044873835</c:v>
                </c:pt>
                <c:pt idx="158">
                  <c:v>16.4504984361975</c:v>
                </c:pt>
                <c:pt idx="159">
                  <c:v>16.1904753824561</c:v>
                </c:pt>
                <c:pt idx="160">
                  <c:v>15.9323261119827</c:v>
                </c:pt>
                <c:pt idx="161">
                  <c:v>15.6760395208727</c:v>
                </c:pt>
                <c:pt idx="162">
                  <c:v>15.4216027514296</c:v>
                </c:pt>
                <c:pt idx="163">
                  <c:v>15.1690013308453</c:v>
                </c:pt>
                <c:pt idx="164">
                  <c:v>14.9182193118375</c:v>
                </c:pt>
                <c:pt idx="165">
                  <c:v>14.6692394144709</c:v>
                </c:pt>
                <c:pt idx="166">
                  <c:v>14.4220431684275</c:v>
                </c:pt>
                <c:pt idx="167">
                  <c:v>14.1766110550195</c:v>
                </c:pt>
                <c:pt idx="168">
                  <c:v>13.9329226482858</c:v>
                </c:pt>
                <c:pt idx="169">
                  <c:v>13.6909567545513</c:v>
                </c:pt>
                <c:pt idx="170">
                  <c:v>13.4506915498841</c:v>
                </c:pt>
                <c:pt idx="171">
                  <c:v>13.2121047149302</c:v>
                </c:pt>
                <c:pt idx="172">
                  <c:v>12.9751735666634</c:v>
                </c:pt>
                <c:pt idx="173">
                  <c:v>12.7398751866372</c:v>
                </c:pt>
                <c:pt idx="174">
                  <c:v>12.5061865453825</c:v>
                </c:pt>
                <c:pt idx="175">
                  <c:v>12.2740846226451</c:v>
                </c:pt>
                <c:pt idx="176">
                  <c:v>12.0435465232105</c:v>
                </c:pt>
                <c:pt idx="177">
                  <c:v>11.8145495881113</c:v>
                </c:pt>
                <c:pt idx="178">
                  <c:v>11.587071501061</c:v>
                </c:pt>
                <c:pt idx="179">
                  <c:v>11.3610903900001</c:v>
                </c:pt>
                <c:pt idx="180">
                  <c:v>11.1365849236846</c:v>
                </c:pt>
                <c:pt idx="181">
                  <c:v>10.9135344032817</c:v>
                </c:pt>
                <c:pt idx="182">
                  <c:v>10.6919188489713</c:v>
                </c:pt>
                <c:pt idx="183">
                  <c:v>10.4717190815859</c:v>
                </c:pt>
                <c:pt idx="184">
                  <c:v>10.2529167993415</c:v>
                </c:pt>
                <c:pt idx="185">
                  <c:v>10.0354946497416</c:v>
                </c:pt>
                <c:pt idx="186">
                  <c:v>9.81943629674878</c:v>
                </c:pt>
                <c:pt idx="187">
                  <c:v>9.60472648333705</c:v>
                </c:pt>
                <c:pt idx="188">
                  <c:v>9.39135108954989</c:v>
                </c:pt>
                <c:pt idx="189">
                  <c:v>9.17929718619416</c:v>
                </c:pt>
                <c:pt idx="190">
                  <c:v>8.96855308430712</c:v>
                </c:pt>
                <c:pt idx="191">
                  <c:v>8.75910838053576</c:v>
                </c:pt>
                <c:pt idx="192">
                  <c:v>8.55095399856459</c:v>
                </c:pt>
                <c:pt idx="193">
                  <c:v>8.34408222672718</c:v>
                </c:pt>
                <c:pt idx="194">
                  <c:v>8.13848675192875</c:v>
                </c:pt>
                <c:pt idx="195">
                  <c:v>7.93416268999936</c:v>
                </c:pt>
                <c:pt idx="196">
                  <c:v>7.73110661258934</c:v>
                </c:pt>
                <c:pt idx="197">
                  <c:v>7.52931657070437</c:v>
                </c:pt>
                <c:pt idx="198">
                  <c:v>7.32879211496545</c:v>
                </c:pt>
                <c:pt idx="199">
                  <c:v>7.12953431266723</c:v>
                </c:pt>
                <c:pt idx="200">
                  <c:v>6.93154576168857</c:v>
                </c:pt>
                <c:pt idx="201">
                  <c:v>6.73483060129804</c:v>
                </c:pt>
                <c:pt idx="202">
                  <c:v>6.53939451987916</c:v>
                </c:pt>
                <c:pt idx="203">
                  <c:v>6.34524475958033</c:v>
                </c:pt>
                <c:pt idx="204">
                  <c:v>6.15239011788465</c:v>
                </c:pt>
                <c:pt idx="205">
                  <c:v>5.96084094607165</c:v>
                </c:pt>
                <c:pt idx="206">
                  <c:v>5.77060914453221</c:v>
                </c:pt>
                <c:pt idx="207">
                  <c:v>5.58170815487826</c:v>
                </c:pt>
                <c:pt idx="208">
                  <c:v>5.39415294877758</c:v>
                </c:pt>
                <c:pt idx="209">
                  <c:v>5.20796001342986</c:v>
                </c:pt>
                <c:pt idx="210">
                  <c:v>5.02314733358587</c:v>
                </c:pt>
                <c:pt idx="211">
                  <c:v>4.83973437000365</c:v>
                </c:pt>
                <c:pt idx="212">
                  <c:v>4.65774203422707</c:v>
                </c:pt>
                <c:pt idx="213">
                  <c:v>4.47719265956076</c:v>
                </c:pt>
                <c:pt idx="214">
                  <c:v>4.29810996811766</c:v>
                </c:pt>
                <c:pt idx="215">
                  <c:v>4.12051903380639</c:v>
                </c:pt>
                <c:pt idx="216">
                  <c:v>3.94444624113184</c:v>
                </c:pt>
                <c:pt idx="217">
                  <c:v>3.76991923968158</c:v>
                </c:pt>
                <c:pt idx="218">
                  <c:v>3.59696689417857</c:v>
                </c:pt>
                <c:pt idx="219">
                  <c:v>3.42561922999195</c:v>
                </c:pt>
                <c:pt idx="220">
                  <c:v>3.25590737400747</c:v>
                </c:pt>
                <c:pt idx="221">
                  <c:v>3.08786349077681</c:v>
                </c:pt>
                <c:pt idx="222">
                  <c:v>2.92152071388803</c:v>
                </c:pt>
                <c:pt idx="223">
                  <c:v>2.75691307251721</c:v>
                </c:pt>
                <c:pt idx="224">
                  <c:v>2.59407541315345</c:v>
                </c:pt>
                <c:pt idx="225">
                  <c:v>2.43304331651833</c:v>
                </c:pt>
                <c:pt idx="226">
                  <c:v>2.27385300973424</c:v>
                </c:pt>
                <c:pt idx="227">
                  <c:v>2.11654127383529</c:v>
                </c:pt>
                <c:pt idx="228">
                  <c:v>1.96114534675189</c:v>
                </c:pt>
                <c:pt idx="229">
                  <c:v>1.80770282194537</c:v>
                </c:pt>
                <c:pt idx="230">
                  <c:v>1.65625154291268</c:v>
                </c:pt>
                <c:pt idx="231">
                  <c:v>1.50682949382734</c:v>
                </c:pt>
                <c:pt idx="232">
                  <c:v>1.35947468663062</c:v>
                </c:pt>
                <c:pt idx="233">
                  <c:v>1.21422504493554</c:v>
                </c:pt>
                <c:pt idx="234">
                  <c:v>1.07111828515174</c:v>
                </c:pt>
                <c:pt idx="235">
                  <c:v>0.930191795287822</c:v>
                </c:pt>
                <c:pt idx="236">
                  <c:v>0.791482511930206</c:v>
                </c:pt>
                <c:pt idx="237">
                  <c:v>0.655026795940787</c:v>
                </c:pt>
                <c:pt idx="238">
                  <c:v>0.520860307450629</c:v>
                </c:pt>
                <c:pt idx="239">
                  <c:v>0.389017880763497</c:v>
                </c:pt>
                <c:pt idx="240">
                  <c:v>0.259533399807159</c:v>
                </c:pt>
                <c:pt idx="241">
                  <c:v>0.132439674794074</c:v>
                </c:pt>
                <c:pt idx="242">
                  <c:v>0.00776832076466205</c:v>
                </c:pt>
                <c:pt idx="243">
                  <c:v>-0.114450361304515</c:v>
                </c:pt>
                <c:pt idx="244">
                  <c:v>-0.234187500150916</c:v>
                </c:pt>
                <c:pt idx="245">
                  <c:v>-0.351415765965229</c:v>
                </c:pt>
                <c:pt idx="246">
                  <c:v>-0.46610947757383</c:v>
                </c:pt>
                <c:pt idx="247">
                  <c:v>-0.578244704444827</c:v>
                </c:pt>
                <c:pt idx="248">
                  <c:v>-0.687799362938447</c:v>
                </c:pt>
                <c:pt idx="249">
                  <c:v>-0.794753306269236</c:v>
                </c:pt>
                <c:pt idx="250">
                  <c:v>-0.899088407701451</c:v>
                </c:pt>
                <c:pt idx="251">
                  <c:v>-1.00078863656591</c:v>
                </c:pt>
                <c:pt idx="252">
                  <c:v>-1.0998401267519</c:v>
                </c:pt>
                <c:pt idx="253">
                  <c:v>-1.19623123740758</c:v>
                </c:pt>
                <c:pt idx="254">
                  <c:v>-1.28995260566059</c:v>
                </c:pt>
                <c:pt idx="255">
                  <c:v>-1.38099719125536</c:v>
                </c:pt>
                <c:pt idx="256">
                  <c:v>-1.46936031308844</c:v>
                </c:pt>
                <c:pt idx="257">
                  <c:v>-1.55503967770989</c:v>
                </c:pt>
                <c:pt idx="258">
                  <c:v>-1.63803539994257</c:v>
                </c:pt>
                <c:pt idx="259">
                  <c:v>-1.71835001585358</c:v>
                </c:pt>
                <c:pt idx="260">
                  <c:v>-1.79598848838966</c:v>
                </c:pt>
                <c:pt idx="261">
                  <c:v>-1.87095820605867</c:v>
                </c:pt>
                <c:pt idx="262">
                  <c:v>-1.94326897510539</c:v>
                </c:pt>
                <c:pt idx="263">
                  <c:v>-2.01293300568431</c:v>
                </c:pt>
                <c:pt idx="264">
                  <c:v>-2.07996489257788</c:v>
                </c:pt>
                <c:pt idx="265">
                  <c:v>-2.14438159104585</c:v>
                </c:pt>
                <c:pt idx="266">
                  <c:v>-2.20620238841441</c:v>
                </c:pt>
                <c:pt idx="267">
                  <c:v>-2.26544887202699</c:v>
                </c:pt>
                <c:pt idx="268">
                  <c:v>-2.3221448941788</c:v>
                </c:pt>
                <c:pt idx="269">
                  <c:v>-2.37631653464713</c:v>
                </c:pt>
                <c:pt idx="270">
                  <c:v>-2.42799206140579</c:v>
                </c:pt>
                <c:pt idx="271">
                  <c:v>-2.47720189007804</c:v>
                </c:pt>
                <c:pt idx="272">
                  <c:v>-2.52397854263828</c:v>
                </c:pt>
                <c:pt idx="273">
                  <c:v>-2.56835660581929</c:v>
                </c:pt>
                <c:pt idx="274">
                  <c:v>-2.61037268961753</c:v>
                </c:pt>
                <c:pt idx="275">
                  <c:v>-2.65006538622282</c:v>
                </c:pt>
                <c:pt idx="276">
                  <c:v>-2.68747522962041</c:v>
                </c:pt>
                <c:pt idx="277">
                  <c:v>-2.72264465603533</c:v>
                </c:pt>
                <c:pt idx="278">
                  <c:v>-2.75561796530958</c:v>
                </c:pt>
                <c:pt idx="279">
                  <c:v>-2.78644128321694</c:v>
                </c:pt>
                <c:pt idx="280">
                  <c:v>-2.81516252464145</c:v>
                </c:pt>
                <c:pt idx="281">
                  <c:v>-2.84183135746626</c:v>
                </c:pt>
                <c:pt idx="282">
                  <c:v>-2.86649916694748</c:v>
                </c:pt>
                <c:pt idx="283">
                  <c:v>-2.88921902027782</c:v>
                </c:pt>
                <c:pt idx="284">
                  <c:v>-2.91004563098701</c:v>
                </c:pt>
                <c:pt idx="285">
                  <c:v>-2.92903532277576</c:v>
                </c:pt>
                <c:pt idx="286">
                  <c:v>-2.94624599233859</c:v>
                </c:pt>
                <c:pt idx="287">
                  <c:v>-2.96173707070381</c:v>
                </c:pt>
                <c:pt idx="288">
                  <c:v>-2.97556948260372</c:v>
                </c:pt>
                <c:pt idx="289">
                  <c:v>-2.98780560338322</c:v>
                </c:pt>
                <c:pt idx="290">
                  <c:v>-2.99850921296737</c:v>
                </c:pt>
                <c:pt idx="291">
                  <c:v>-3.00774544643111</c:v>
                </c:pt>
                <c:pt idx="292">
                  <c:v>-3.01558074075393</c:v>
                </c:pt>
                <c:pt idx="293">
                  <c:v>-3.02208277738705</c:v>
                </c:pt>
                <c:pt idx="294">
                  <c:v>-3.02732042032866</c:v>
                </c:pt>
                <c:pt idx="295">
                  <c:v>-3.03136364947017</c:v>
                </c:pt>
                <c:pt idx="296">
                  <c:v>-3.03428348905916</c:v>
                </c:pt>
                <c:pt idx="297">
                  <c:v>-3.03615193121544</c:v>
                </c:pt>
                <c:pt idx="298">
                  <c:v>-3.03704185453011</c:v>
                </c:pt>
                <c:pt idx="299">
                  <c:v>-3.03702693787593</c:v>
                </c:pt>
                <c:pt idx="300">
                  <c:v>-3.0361815696594</c:v>
                </c:pt>
                <c:pt idx="301">
                  <c:v>-3.03458075284299</c:v>
                </c:pt>
                <c:pt idx="302">
                  <c:v>-3.03230000616271</c:v>
                </c:pt>
                <c:pt idx="303">
                  <c:v>-3.02941526205989</c:v>
                </c:pt>
                <c:pt idx="304">
                  <c:v>-3.02600276192632</c:v>
                </c:pt>
                <c:pt idx="305">
                  <c:v>-3.02213894934197</c:v>
                </c:pt>
                <c:pt idx="306">
                  <c:v>-3.01790036204158</c:v>
                </c:pt>
                <c:pt idx="307">
                  <c:v>-3.01336352340504</c:v>
                </c:pt>
                <c:pt idx="308">
                  <c:v>-3.00860483429628</c:v>
                </c:pt>
                <c:pt idx="309">
                  <c:v>-3.00370046610091</c:v>
                </c:pt>
                <c:pt idx="310">
                  <c:v>-2.99872625581913</c:v>
                </c:pt>
                <c:pt idx="311">
                  <c:v>-2.99375760405859</c:v>
                </c:pt>
                <c:pt idx="312">
                  <c:v>-2.98886937674915</c:v>
                </c:pt>
                <c:pt idx="313">
                  <c:v>-2.98413581135694</c:v>
                </c:pt>
                <c:pt idx="314">
                  <c:v>-2.97963042832404</c:v>
                </c:pt>
                <c:pt idx="315">
                  <c:v>-2.97542594838927</c:v>
                </c:pt>
                <c:pt idx="316">
                  <c:v>-2.97159421636245</c:v>
                </c:pt>
                <c:pt idx="317">
                  <c:v>-2.96820613184056</c:v>
                </c:pt>
                <c:pt idx="318">
                  <c:v>-2.96533158724688</c:v>
                </c:pt>
                <c:pt idx="319">
                  <c:v>-2.96303941347348</c:v>
                </c:pt>
                <c:pt idx="320">
                  <c:v>-2.96139733329754</c:v>
                </c:pt>
                <c:pt idx="321">
                  <c:v>-2.96047192262704</c:v>
                </c:pt>
                <c:pt idx="322">
                  <c:v>-2.96032857951907</c:v>
                </c:pt>
                <c:pt idx="323">
                  <c:v>-2.96103150080942</c:v>
                </c:pt>
                <c:pt idx="324">
                  <c:v>-2.96264366607548</c:v>
                </c:pt>
                <c:pt idx="325">
                  <c:v>-2.96522682856542</c:v>
                </c:pt>
                <c:pt idx="326">
                  <c:v>-2.96884151262166</c:v>
                </c:pt>
                <c:pt idx="327">
                  <c:v>-2.9735470170512</c:v>
                </c:pt>
                <c:pt idx="328">
                  <c:v>-2.97940142381434</c:v>
                </c:pt>
                <c:pt idx="329">
                  <c:v>-2.98646161134156</c:v>
                </c:pt>
                <c:pt idx="330">
                  <c:v>-2.99478327173602</c:v>
                </c:pt>
                <c:pt idx="331">
                  <c:v>-3.00442093107442</c:v>
                </c:pt>
                <c:pt idx="332">
                  <c:v>-3.01542797199936</c:v>
                </c:pt>
                <c:pt idx="333">
                  <c:v>-3.02785665776701</c:v>
                </c:pt>
                <c:pt idx="334">
                  <c:v>-3.04175815692379</c:v>
                </c:pt>
                <c:pt idx="335">
                  <c:v>-3.05718256778284</c:v>
                </c:pt>
                <c:pt idx="336">
                  <c:v>-3.07417894189704</c:v>
                </c:pt>
                <c:pt idx="337">
                  <c:v>-3.092795305752</c:v>
                </c:pt>
                <c:pt idx="338">
                  <c:v>-3.11307867994507</c:v>
                </c:pt>
                <c:pt idx="339">
                  <c:v>-3.13507509516442</c:v>
                </c:pt>
                <c:pt idx="340">
                  <c:v>-3.15882960434279</c:v>
                </c:pt>
                <c:pt idx="341">
                  <c:v>-3.18438629042382</c:v>
                </c:pt>
                <c:pt idx="342">
                  <c:v>-3.21178826925519</c:v>
                </c:pt>
                <c:pt idx="343">
                  <c:v>-3.24107768719801</c:v>
                </c:pt>
                <c:pt idx="344">
                  <c:v>-3.27229571312951</c:v>
                </c:pt>
                <c:pt idx="345">
                  <c:v>-3.30548252459723</c:v>
                </c:pt>
                <c:pt idx="346">
                  <c:v>-3.3406772879818</c:v>
                </c:pt>
                <c:pt idx="347">
                  <c:v>-3.37791813260761</c:v>
                </c:pt>
                <c:pt idx="348">
                  <c:v>-3.41724211884153</c:v>
                </c:pt>
                <c:pt idx="349">
                  <c:v>-3.45868520030719</c:v>
                </c:pt>
                <c:pt idx="350">
                  <c:v>-3.50228218043576</c:v>
                </c:pt>
                <c:pt idx="351">
                  <c:v>-3.54806666366191</c:v>
                </c:pt>
                <c:pt idx="352">
                  <c:v>-3.59607100165931</c:v>
                </c:pt>
                <c:pt idx="353">
                  <c:v>-3.64632623509324</c:v>
                </c:pt>
                <c:pt idx="354">
                  <c:v>-3.69886203143779</c:v>
                </c:pt>
                <c:pt idx="355">
                  <c:v>-3.75370661948244</c:v>
                </c:pt>
                <c:pt idx="356">
                  <c:v>-3.81088672120799</c:v>
                </c:pt>
                <c:pt idx="357">
                  <c:v>-3.87042748177075</c:v>
                </c:pt>
                <c:pt idx="358">
                  <c:v>-3.93235239837517</c:v>
                </c:pt>
                <c:pt idx="359">
                  <c:v>-3.99668324885417</c:v>
                </c:pt>
                <c:pt idx="360">
                  <c:v>-4.06344002079922</c:v>
                </c:pt>
                <c:pt idx="361">
                  <c:v>-4.13264084209723</c:v>
                </c:pt>
                <c:pt idx="362">
                  <c:v>-4.20430191373554</c:v>
                </c:pt>
                <c:pt idx="363">
                  <c:v>-4.27843744572873</c:v>
                </c:pt>
                <c:pt idx="364">
                  <c:v>-4.35505959699918</c:v>
                </c:pt>
                <c:pt idx="365">
                  <c:v>-4.43417842001704</c:v>
                </c:pt>
                <c:pt idx="366">
                  <c:v>-4.51580181096127</c:v>
                </c:pt>
                <c:pt idx="367">
                  <c:v>-4.59993546611256</c:v>
                </c:pt>
                <c:pt idx="368">
                  <c:v>-4.68658284512834</c:v>
                </c:pt>
                <c:pt idx="369">
                  <c:v>-4.77574514178005</c:v>
                </c:pt>
                <c:pt idx="370">
                  <c:v>-4.8674212626546</c:v>
                </c:pt>
                <c:pt idx="371">
                  <c:v>-4.96160781423877</c:v>
                </c:pt>
                <c:pt idx="372">
                  <c:v>-5.05829909871481</c:v>
                </c:pt>
                <c:pt idx="373">
                  <c:v>-5.1574871187029</c:v>
                </c:pt>
                <c:pt idx="374">
                  <c:v>-5.25916159109006</c:v>
                </c:pt>
                <c:pt idx="375">
                  <c:v>-5.36330996998784</c:v>
                </c:pt>
                <c:pt idx="376">
                  <c:v>-5.46991747876735</c:v>
                </c:pt>
                <c:pt idx="377">
                  <c:v>-5.57896715102201</c:v>
                </c:pt>
                <c:pt idx="378">
                  <c:v>-5.69043988022306</c:v>
                </c:pt>
                <c:pt idx="379">
                  <c:v>-5.80431447774252</c:v>
                </c:pt>
                <c:pt idx="380">
                  <c:v>-5.92056773884228</c:v>
                </c:pt>
                <c:pt idx="381">
                  <c:v>-6.03917451615329</c:v>
                </c:pt>
                <c:pt idx="382">
                  <c:v>-6.1601078001046</c:v>
                </c:pt>
                <c:pt idx="383">
                  <c:v>-6.28333880570817</c:v>
                </c:pt>
                <c:pt idx="384">
                  <c:v>-6.40883706505508</c:v>
                </c:pt>
                <c:pt idx="385">
                  <c:v>-6.53657052484658</c:v>
                </c:pt>
                <c:pt idx="386">
                  <c:v>-6.66650564825136</c:v>
                </c:pt>
                <c:pt idx="387">
                  <c:v>-6.79860752036733</c:v>
                </c:pt>
                <c:pt idx="388">
                  <c:v>-6.93283995655426</c:v>
                </c:pt>
                <c:pt idx="389">
                  <c:v>-7.06916561290896</c:v>
                </c:pt>
                <c:pt idx="390">
                  <c:v>-7.20754609816011</c:v>
                </c:pt>
                <c:pt idx="391">
                  <c:v>-7.34794208628077</c:v>
                </c:pt>
                <c:pt idx="392">
                  <c:v>-7.49031342914093</c:v>
                </c:pt>
                <c:pt idx="393">
                  <c:v>-7.63461926855157</c:v>
                </c:pt>
                <c:pt idx="394">
                  <c:v>-7.78081814709292</c:v>
                </c:pt>
                <c:pt idx="395">
                  <c:v>-7.92886811715644</c:v>
                </c:pt>
                <c:pt idx="396">
                  <c:v>-8.07872684767971</c:v>
                </c:pt>
                <c:pt idx="397">
                  <c:v>-8.23035172809663</c:v>
                </c:pt>
                <c:pt idx="398">
                  <c:v>-8.38369996908211</c:v>
                </c:pt>
                <c:pt idx="399">
                  <c:v>-8.5387286997135</c:v>
                </c:pt>
                <c:pt idx="400">
                  <c:v>-8.69539506073116</c:v>
                </c:pt>
                <c:pt idx="401">
                  <c:v>-8.8536562936233</c:v>
                </c:pt>
                <c:pt idx="402">
                  <c:v>-9.01346982531674</c:v>
                </c:pt>
                <c:pt idx="403">
                  <c:v>-9.17479334830175</c:v>
                </c:pt>
                <c:pt idx="404">
                  <c:v>-9.33758489606395</c:v>
                </c:pt>
                <c:pt idx="405">
                  <c:v>-9.50180291374261</c:v>
                </c:pt>
                <c:pt idx="406">
                  <c:v>-9.66740632397489</c:v>
                </c:pt>
                <c:pt idx="407">
                  <c:v>-9.83435458792347</c:v>
                </c:pt>
                <c:pt idx="408">
                  <c:v>-10.0026077615213</c:v>
                </c:pt>
                <c:pt idx="409">
                  <c:v>-10.1721265469971</c:v>
                </c:pt>
                <c:pt idx="410">
                  <c:v>-10.3428723397754</c:v>
                </c:pt>
                <c:pt idx="411">
                  <c:v>-10.5148072708688</c:v>
                </c:pt>
                <c:pt idx="412">
                  <c:v>-10.687894244901</c:v>
                </c:pt>
                <c:pt idx="413">
                  <c:v>-10.8620969739207</c:v>
                </c:pt>
                <c:pt idx="414">
                  <c:v>-11.0373800071782</c:v>
                </c:pt>
                <c:pt idx="415">
                  <c:v>-11.2137087570515</c:v>
                </c:pt>
                <c:pt idx="416">
                  <c:v>-11.3910495213188</c:v>
                </c:pt>
                <c:pt idx="417">
                  <c:v>-11.5693695019783</c:v>
                </c:pt>
                <c:pt idx="418">
                  <c:v>-11.7486368208253</c:v>
                </c:pt>
                <c:pt idx="419">
                  <c:v>-11.9288205319973</c:v>
                </c:pt>
                <c:pt idx="420">
                  <c:v>-12.1098906316988</c:v>
                </c:pt>
                <c:pt idx="421">
                  <c:v>-12.2918180653168</c:v>
                </c:pt>
                <c:pt idx="422">
                  <c:v>-12.4745747321353</c:v>
                </c:pt>
                <c:pt idx="423">
                  <c:v>-12.6581334878566</c:v>
                </c:pt>
                <c:pt idx="424">
                  <c:v>-12.842468145126</c:v>
                </c:pt>
                <c:pt idx="425">
                  <c:v>-13.0275534722591</c:v>
                </c:pt>
                <c:pt idx="426">
                  <c:v>-13.213365190357</c:v>
                </c:pt>
                <c:pt idx="427">
                  <c:v>-13.3998799689929</c:v>
                </c:pt>
                <c:pt idx="428">
                  <c:v>-13.5870754206431</c:v>
                </c:pt>
                <c:pt idx="429">
                  <c:v>-13.7749300940293</c:v>
                </c:pt>
                <c:pt idx="430">
                  <c:v>-13.9634234665302</c:v>
                </c:pt>
                <c:pt idx="431">
                  <c:v>-14.1525359358111</c:v>
                </c:pt>
                <c:pt idx="432">
                  <c:v>-14.3422488108156</c:v>
                </c:pt>
                <c:pt idx="433">
                  <c:v>-14.5325443022489</c:v>
                </c:pt>
                <c:pt idx="434">
                  <c:v>-14.723405512681</c:v>
                </c:pt>
                <c:pt idx="435">
                  <c:v>-14.9148164263849</c:v>
                </c:pt>
                <c:pt idx="436">
                  <c:v>-15.1067618990193</c:v>
                </c:pt>
                <c:pt idx="437">
                  <c:v>-15.2992276472561</c:v>
                </c:pt>
                <c:pt idx="438">
                  <c:v>-15.4922002384491</c:v>
                </c:pt>
                <c:pt idx="439">
                  <c:v>-15.6856670804263</c:v>
                </c:pt>
                <c:pt idx="440">
                  <c:v>-15.8796164114898</c:v>
                </c:pt>
                <c:pt idx="441">
                  <c:v>-16.0740372906937</c:v>
                </c:pt>
                <c:pt idx="442">
                  <c:v>-16.2689195884671</c:v>
                </c:pt>
                <c:pt idx="443">
                  <c:v>-16.4642539776441</c:v>
                </c:pt>
                <c:pt idx="444">
                  <c:v>-16.6600319249539</c:v>
                </c:pt>
                <c:pt idx="445">
                  <c:v>-16.856245683022</c:v>
                </c:pt>
                <c:pt idx="446">
                  <c:v>-17.0528882829263</c:v>
                </c:pt>
                <c:pt idx="447">
                  <c:v>-17.2499535273461</c:v>
                </c:pt>
                <c:pt idx="448">
                  <c:v>-17.4474359843408</c:v>
                </c:pt>
                <c:pt idx="449">
                  <c:v>-17.6453309817859</c:v>
                </c:pt>
                <c:pt idx="450">
                  <c:v>-17.8436346024943</c:v>
                </c:pt>
                <c:pt idx="451">
                  <c:v>-18.0423436800411</c:v>
                </c:pt>
                <c:pt idx="452">
                  <c:v>-18.2414557953137</c:v>
                </c:pt>
                <c:pt idx="453">
                  <c:v>-18.4409692737958</c:v>
                </c:pt>
                <c:pt idx="454">
                  <c:v>-18.6408831836004</c:v>
                </c:pt>
                <c:pt idx="455">
                  <c:v>-18.8411973342522</c:v>
                </c:pt>
                <c:pt idx="456">
                  <c:v>-19.0419122762265</c:v>
                </c:pt>
                <c:pt idx="457">
                  <c:v>-19.2430293012407</c:v>
                </c:pt>
                <c:pt idx="458">
                  <c:v>-19.4445504432935</c:v>
                </c:pt>
                <c:pt idx="459">
                  <c:v>-19.6464784804447</c:v>
                </c:pt>
                <c:pt idx="460">
                  <c:v>-19.8488169373212</c:v>
                </c:pt>
                <c:pt idx="461">
                  <c:v>-20.0515700883352</c:v>
                </c:pt>
                <c:pt idx="462">
                  <c:v>-20.2547429615914</c:v>
                </c:pt>
                <c:pt idx="463">
                  <c:v>-20.4583413434635</c:v>
                </c:pt>
                <c:pt idx="464">
                  <c:v>-20.6623717838055</c:v>
                </c:pt>
                <c:pt idx="465">
                  <c:v>-20.8668416017717</c:v>
                </c:pt>
                <c:pt idx="466">
                  <c:v>-21.0717588922029</c:v>
                </c:pt>
                <c:pt idx="467">
                  <c:v>-21.2771325325387</c:v>
                </c:pt>
                <c:pt idx="468">
                  <c:v>-21.4829721902093</c:v>
                </c:pt>
                <c:pt idx="469">
                  <c:v>-21.6892883304526</c:v>
                </c:pt>
                <c:pt idx="470">
                  <c:v>-21.8960922244997</c:v>
                </c:pt>
                <c:pt idx="471">
                  <c:v>-22.1033959580658</c:v>
                </c:pt>
                <c:pt idx="472">
                  <c:v>-22.3112124400731</c:v>
                </c:pt>
                <c:pt idx="473">
                  <c:v>-22.5195554115341</c:v>
                </c:pt>
                <c:pt idx="474">
                  <c:v>-22.7284394545086</c:v>
                </c:pt>
                <c:pt idx="475">
                  <c:v>-22.9378800010453</c:v>
                </c:pt>
                <c:pt idx="476">
                  <c:v>-23.1478933420119</c:v>
                </c:pt>
                <c:pt idx="477">
                  <c:v>-23.3584966357065</c:v>
                </c:pt>
                <c:pt idx="478">
                  <c:v>-23.5697079161416</c:v>
                </c:pt>
                <c:pt idx="479">
                  <c:v>-23.7815461008745</c:v>
                </c:pt>
                <c:pt idx="480">
                  <c:v>-23.9940309982621</c:v>
                </c:pt>
                <c:pt idx="481">
                  <c:v>-24.2071833139974</c:v>
                </c:pt>
                <c:pt idx="482">
                  <c:v>-24.4210246567865</c:v>
                </c:pt>
                <c:pt idx="483">
                  <c:v>-24.6355775430103</c:v>
                </c:pt>
                <c:pt idx="484">
                  <c:v>-24.8508654002112</c:v>
                </c:pt>
                <c:pt idx="485">
                  <c:v>-25.0669125692328</c:v>
                </c:pt>
                <c:pt idx="486">
                  <c:v>-25.2837443048374</c:v>
                </c:pt>
                <c:pt idx="487">
                  <c:v>-25.5013867746148</c:v>
                </c:pt>
                <c:pt idx="488">
                  <c:v>-25.7198670559916</c:v>
                </c:pt>
                <c:pt idx="489">
                  <c:v>-25.9392131311432</c:v>
                </c:pt>
                <c:pt idx="490">
                  <c:v>-26.1594538796047</c:v>
                </c:pt>
                <c:pt idx="491">
                  <c:v>-26.380619068373</c:v>
                </c:pt>
                <c:pt idx="492">
                  <c:v>-26.6027393392914</c:v>
                </c:pt>
                <c:pt idx="493">
                  <c:v>-26.8258461935004</c:v>
                </c:pt>
                <c:pt idx="494">
                  <c:v>-27.0499719727454</c:v>
                </c:pt>
                <c:pt idx="495">
                  <c:v>-27.2751498373278</c:v>
                </c:pt>
                <c:pt idx="496">
                  <c:v>-27.5014137404925</c:v>
                </c:pt>
                <c:pt idx="497">
                  <c:v>-27.7287983990477</c:v>
                </c:pt>
                <c:pt idx="498">
                  <c:v>-27.9573392600265</c:v>
                </c:pt>
                <c:pt idx="499">
                  <c:v>-28.1870724632023</c:v>
                </c:pt>
                <c:pt idx="500">
                  <c:v>-28.418034799291</c:v>
                </c:pt>
                <c:pt idx="501">
                  <c:v>-28.6502636636851</c:v>
                </c:pt>
                <c:pt idx="502">
                  <c:v>-28.8837970055853</c:v>
                </c:pt>
                <c:pt idx="503">
                  <c:v>-29.1186732724196</c:v>
                </c:pt>
                <c:pt idx="504">
                  <c:v>-29.3549313494639</c:v>
                </c:pt>
                <c:pt idx="505">
                  <c:v>-29.592610494609</c:v>
                </c:pt>
                <c:pt idx="506">
                  <c:v>-29.831750268251</c:v>
                </c:pt>
                <c:pt idx="507">
                  <c:v>-30.0723904583218</c:v>
                </c:pt>
                <c:pt idx="508">
                  <c:v>-30.3145710005094</c:v>
                </c:pt>
                <c:pt idx="509">
                  <c:v>-30.5583318937698</c:v>
                </c:pt>
                <c:pt idx="510">
                  <c:v>-30.8037131112667</c:v>
                </c:pt>
                <c:pt idx="511">
                  <c:v>-31.0507545069349</c:v>
                </c:pt>
                <c:pt idx="512">
                  <c:v>-31.2994957179051</c:v>
                </c:pt>
                <c:pt idx="513">
                  <c:v>-31.5499760630815</c:v>
                </c:pt>
                <c:pt idx="514">
                  <c:v>-31.8022344382211</c:v>
                </c:pt>
                <c:pt idx="515">
                  <c:v>-32.0563092079075</c:v>
                </c:pt>
                <c:pt idx="516">
                  <c:v>-32.3122380948762</c:v>
                </c:pt>
                <c:pt idx="517">
                  <c:v>-32.5700580671901</c:v>
                </c:pt>
                <c:pt idx="518">
                  <c:v>-32.8298052238187</c:v>
                </c:pt>
                <c:pt idx="519">
                  <c:v>-33.0915146792215</c:v>
                </c:pt>
                <c:pt idx="520">
                  <c:v>-33.3552204475785</c:v>
                </c:pt>
                <c:pt idx="521">
                  <c:v>-33.6209553273464</c:v>
                </c:pt>
                <c:pt idx="522">
                  <c:v>-33.8887507868581</c:v>
                </c:pt>
                <c:pt idx="523">
                  <c:v>-34.1586368517033</c:v>
                </c:pt>
                <c:pt idx="524">
                  <c:v>-34.4306419946528</c:v>
                </c:pt>
                <c:pt idx="525">
                  <c:v>-34.7047930288965</c:v>
                </c:pt>
                <c:pt idx="526">
                  <c:v>-34.9811150053693</c:v>
                </c:pt>
                <c:pt idx="527">
                  <c:v>-35.2596311149349</c:v>
                </c:pt>
                <c:pt idx="528">
                  <c:v>-35.5403625961786</c:v>
                </c:pt>
                <c:pt idx="529">
                  <c:v>-35.8233286495382</c:v>
                </c:pt>
                <c:pt idx="530">
                  <c:v>-36.1085463584649</c:v>
                </c:pt>
                <c:pt idx="531">
                  <c:v>-36.3960306182638</c:v>
                </c:pt>
                <c:pt idx="532">
                  <c:v>-36.68579407321</c:v>
                </c:pt>
                <c:pt idx="533">
                  <c:v>-36.9778470624734</c:v>
                </c:pt>
                <c:pt idx="534">
                  <c:v>-37.2721975753185</c:v>
                </c:pt>
                <c:pt idx="535">
                  <c:v>-37.5688512159659</c:v>
                </c:pt>
                <c:pt idx="536">
                  <c:v>-37.8678111784219</c:v>
                </c:pt>
                <c:pt idx="537">
                  <c:v>-38.1690782314966</c:v>
                </c:pt>
                <c:pt idx="538">
                  <c:v>-38.472650714138</c:v>
                </c:pt>
                <c:pt idx="539">
                  <c:v>-38.7785245411199</c:v>
                </c:pt>
                <c:pt idx="540">
                  <c:v>-39.0866932190265</c:v>
                </c:pt>
                <c:pt idx="541">
                  <c:v>-39.3971478723869</c:v>
                </c:pt>
              </c:numCache>
            </c:numRef>
          </c:yVal>
          <c:smooth val="1"/>
        </c:ser>
        <c:ser>
          <c:idx val="2"/>
          <c:order val="2"/>
          <c:tx>
            <c:strRef>
              <c:f>"f_LP"</c:f>
              <c:strCache>
                <c:ptCount val="1"/>
                <c:pt idx="0">
                  <c:v>f_LP</c:v>
                </c:pt>
              </c:strCache>
            </c:strRef>
          </c:tx>
          <c:spPr>
            <a:ln w="38100" cap="rnd" cmpd="sng" algn="ctr">
              <a:solidFill>
                <a:schemeClr val="accent3">
                  <a:shade val="76667"/>
                  <a:shade val="95000"/>
                  <a:satMod val="105000"/>
                </a:schemeClr>
              </a:solidFill>
              <a:prstDash val="solid"/>
              <a:round/>
            </a:ln>
          </c:spPr>
          <c:marker>
            <c:symbol val="x"/>
            <c:size val="7"/>
            <c:spPr>
              <a:noFill/>
            </c:spPr>
          </c:marker>
          <c:dPt>
            <c:idx val="0"/>
            <c:marker>
              <c:symbol val="x"/>
              <c:size val="7"/>
              <c:spPr>
                <a:noFill/>
                <a:ln w="19050" cap="flat" cmpd="sng" algn="ctr">
                  <a:solidFill>
                    <a:schemeClr val="tx1"/>
                  </a:solidFill>
                  <a:prstDash val="solid"/>
                  <a:round/>
                </a:ln>
              </c:spPr>
            </c:marker>
            <c:bubble3D val="0"/>
          </c:dPt>
          <c:dLbls>
            <c:dLbl>
              <c:idx val="0"/>
              <c:layout/>
              <c:tx>
                <c:rich>
                  <a:bodyPr rot="0" spcFirstLastPara="0" vertOverflow="ellipsis" vert="horz" wrap="square" lIns="38100" tIns="19050" rIns="38100" bIns="19050" anchor="ctr" anchorCtr="1"/>
                  <a:lstStyle/>
                  <a:p>
                    <a:pPr>
                      <a:defRPr lang="pl-PL" sz="1000" b="0" i="0" u="none" strike="noStrike" kern="1200" baseline="0">
                        <a:solidFill>
                          <a:schemeClr val="tx1"/>
                        </a:solidFill>
                        <a:latin typeface="+mn-lt"/>
                        <a:ea typeface="+mn-ea"/>
                        <a:cs typeface="+mn-cs"/>
                      </a:defRPr>
                    </a:pPr>
                    <a:r>
                      <a:rPr lang="en-US" sz="1100" b="1"/>
                      <a:t>f</a:t>
                    </a:r>
                    <a:r>
                      <a:rPr lang="en-US" sz="1100" b="1" baseline="-25000"/>
                      <a:t>LP</a:t>
                    </a:r>
                    <a:endParaRPr lang="en-US" b="1" baseline="-25000"/>
                  </a:p>
                </c:rich>
              </c:tx>
              <c:dLblPos val="b"/>
              <c:showLegendKey val="0"/>
              <c:showVal val="0"/>
              <c:showCatName val="0"/>
              <c:showSerName val="1"/>
              <c:showPercent val="0"/>
              <c:showBubbleSize val="0"/>
              <c:extLst>
                <c:ext xmlns:c15="http://schemas.microsoft.com/office/drawing/2012/chart" uri="{CE6537A1-D6FC-4f65-9D91-7224C49458BB}"/>
              </c:extLst>
            </c:dLbl>
            <c:spPr>
              <a:noFill/>
              <a:ln>
                <a:noFill/>
              </a:ln>
              <a:effectLst/>
            </c:spPr>
            <c:txPr>
              <a:bodyPr rot="0" spcFirstLastPara="0" vertOverflow="ellipsis" vert="horz" wrap="square" lIns="38100" tIns="19050" rIns="38100" bIns="19050" anchor="ctr" anchorCtr="1"/>
              <a:lstStyle/>
              <a:p>
                <a:pPr>
                  <a:defRPr lang="pl-PL" sz="1000" b="0" i="0" u="none" strike="noStrike" kern="1200" baseline="0">
                    <a:solidFill>
                      <a:schemeClr val="tx1"/>
                    </a:solidFill>
                    <a:latin typeface="+mn-lt"/>
                    <a:ea typeface="+mn-ea"/>
                    <a:cs typeface="+mn-cs"/>
                  </a:defRPr>
                </a:pPr>
              </a:p>
            </c:txPr>
            <c:dLblPos val="b"/>
            <c:showLegendKey val="0"/>
            <c:showVal val="0"/>
            <c:showCatName val="0"/>
            <c:showSerName val="1"/>
            <c:showPercent val="0"/>
            <c:showBubbleSize val="0"/>
            <c:showLeaderLines val="0"/>
            <c:extLst>
              <c:ext xmlns:c15="http://schemas.microsoft.com/office/drawing/2012/chart" uri="{CE6537A1-D6FC-4f65-9D91-7224C49458BB}">
                <c15:layout/>
                <c15:showLeaderLines val="0"/>
                <c15:leaderLines/>
              </c:ext>
            </c:extLst>
          </c:dLbls>
          <c:xVal>
            <c:numRef>
              <c:f>Loop_Modeling!$O$11</c:f>
              <c:numCache>
                <c:formatCode>0</c:formatCode>
                <c:ptCount val="1"/>
                <c:pt idx="0">
                  <c:v>78.1564452683415</c:v>
                </c:pt>
              </c:numCache>
            </c:numRef>
          </c:xVal>
          <c:yVal>
            <c:numRef>
              <c:f>Loop_Modeling!$BL$11</c:f>
              <c:numCache>
                <c:formatCode>General</c:formatCode>
                <c:ptCount val="1"/>
                <c:pt idx="0">
                  <c:v>37.2632734503984</c:v>
                </c:pt>
              </c:numCache>
            </c:numRef>
          </c:yVal>
          <c:smooth val="0"/>
        </c:ser>
        <c:ser>
          <c:idx val="3"/>
          <c:order val="3"/>
          <c:tx>
            <c:strRef>
              <c:f>"fz_rhp"</c:f>
              <c:strCache>
                <c:ptCount val="1"/>
                <c:pt idx="0">
                  <c:v>fz_rhp</c:v>
                </c:pt>
              </c:strCache>
            </c:strRef>
          </c:tx>
          <c:spPr>
            <a:ln w="28575" cap="rnd" cmpd="sng" algn="ctr">
              <a:solidFill>
                <a:schemeClr val="tx1"/>
              </a:solidFill>
              <a:prstDash val="solid"/>
              <a:round/>
            </a:ln>
          </c:spPr>
          <c:marker>
            <c:symbol val="circle"/>
            <c:size val="7"/>
            <c:spPr>
              <a:noFill/>
              <a:ln w="19050" cap="flat" cmpd="sng" algn="ctr">
                <a:solidFill>
                  <a:schemeClr val="tx1"/>
                </a:solidFill>
                <a:prstDash val="solid"/>
                <a:round/>
              </a:ln>
            </c:spPr>
          </c:marker>
          <c:dLbls>
            <c:dLbl>
              <c:idx val="0"/>
              <c:layout>
                <c:manualLayout>
                  <c:x val="0.00805012095614235"/>
                  <c:y val="-0.0154936672785042"/>
                </c:manualLayout>
              </c:layout>
              <c:dLblPos val="r"/>
              <c:showLegendKey val="0"/>
              <c:showVal val="0"/>
              <c:showCatName val="0"/>
              <c:showSerName val="1"/>
              <c:showPercent val="0"/>
              <c:showBubbleSize val="0"/>
              <c:extLst>
                <c:ext xmlns:c15="http://schemas.microsoft.com/office/drawing/2012/chart" uri="{CE6537A1-D6FC-4f65-9D91-7224C49458BB}">
                  <c15:layout/>
                </c:ext>
              </c:extLst>
            </c:dLbl>
            <c:spPr>
              <a:noFill/>
              <a:ln>
                <a:noFill/>
              </a:ln>
              <a:effectLst/>
            </c:spPr>
            <c:txPr>
              <a:bodyPr rot="0" spcFirstLastPara="0" vertOverflow="ellipsis" vert="horz" wrap="square" lIns="38100" tIns="19050" rIns="38100" bIns="19050" anchor="ctr" anchorCtr="1"/>
              <a:lstStyle/>
              <a:p>
                <a:pPr>
                  <a:defRPr lang="pl-PL" sz="1000" b="1" i="0" u="none" strike="noStrike" kern="1200" baseline="0">
                    <a:solidFill>
                      <a:schemeClr val="tx1"/>
                    </a:solidFill>
                    <a:latin typeface="+mn-lt"/>
                    <a:ea typeface="+mn-ea"/>
                    <a:cs typeface="+mn-cs"/>
                  </a:defRPr>
                </a:pPr>
              </a:p>
            </c:txPr>
            <c:dLblPos val="t"/>
            <c:showLegendKey val="0"/>
            <c:showVal val="0"/>
            <c:showCatName val="0"/>
            <c:showSerName val="1"/>
            <c:showPercent val="0"/>
            <c:showBubbleSize val="0"/>
            <c:showLeaderLines val="0"/>
            <c:extLst>
              <c:ext xmlns:c15="http://schemas.microsoft.com/office/drawing/2012/chart" uri="{CE6537A1-D6FC-4f65-9D91-7224C49458BB}">
                <c15:layout/>
                <c15:showLeaderLines val="0"/>
                <c15:leaderLines/>
              </c:ext>
            </c:extLst>
          </c:dLbls>
          <c:xVal>
            <c:numRef>
              <c:f>Loop_Modeling!$O$9</c:f>
              <c:numCache>
                <c:formatCode>0</c:formatCode>
                <c:ptCount val="1"/>
                <c:pt idx="0">
                  <c:v>3536.77651315323</c:v>
                </c:pt>
              </c:numCache>
            </c:numRef>
          </c:xVal>
          <c:yVal>
            <c:numRef>
              <c:f>Loop_Modeling!$BL$9</c:f>
              <c:numCache>
                <c:formatCode>General</c:formatCode>
                <c:ptCount val="1"/>
                <c:pt idx="0">
                  <c:v>-1.27706328185748</c:v>
                </c:pt>
              </c:numCache>
            </c:numRef>
          </c:yVal>
          <c:smooth val="1"/>
        </c:ser>
        <c:ser>
          <c:idx val="4"/>
          <c:order val="4"/>
          <c:tx>
            <c:strRef>
              <c:f>"f_esr"</c:f>
              <c:strCache>
                <c:ptCount val="1"/>
                <c:pt idx="0">
                  <c:v>f_esr</c:v>
                </c:pt>
              </c:strCache>
            </c:strRef>
          </c:tx>
          <c:spPr>
            <a:ln w="28575" cap="rnd" cmpd="sng" algn="ctr">
              <a:noFill/>
              <a:prstDash val="solid"/>
              <a:round/>
            </a:ln>
          </c:spPr>
          <c:marker>
            <c:symbol val="circle"/>
            <c:size val="5"/>
            <c:spPr>
              <a:noFill/>
              <a:ln w="19050" cap="flat" cmpd="sng" algn="ctr">
                <a:solidFill>
                  <a:schemeClr val="tx1"/>
                </a:solidFill>
                <a:prstDash val="solid"/>
                <a:round/>
              </a:ln>
            </c:spPr>
          </c:marker>
          <c:dPt>
            <c:idx val="0"/>
            <c:marker>
              <c:symbol val="circle"/>
              <c:size val="7"/>
              <c:spPr>
                <a:noFill/>
                <a:ln w="19050" cap="flat" cmpd="sng" algn="ctr">
                  <a:solidFill>
                    <a:schemeClr val="tx1"/>
                  </a:solidFill>
                  <a:prstDash val="solid"/>
                  <a:round/>
                </a:ln>
              </c:spPr>
            </c:marker>
            <c:bubble3D val="0"/>
          </c:dPt>
          <c:dLbls>
            <c:dLbl>
              <c:idx val="0"/>
              <c:layout>
                <c:manualLayout>
                  <c:x val="-0.0599047448989965"/>
                  <c:y val="-0.0124571934900871"/>
                </c:manualLayout>
              </c:layout>
              <c:dLblPos val="r"/>
              <c:showLegendKey val="0"/>
              <c:showVal val="0"/>
              <c:showCatName val="0"/>
              <c:showSerName val="1"/>
              <c:showPercent val="0"/>
              <c:showBubbleSize val="0"/>
              <c:extLst>
                <c:ext xmlns:c15="http://schemas.microsoft.com/office/drawing/2012/chart" uri="{CE6537A1-D6FC-4f65-9D91-7224C49458BB}">
                  <c15:layout/>
                </c:ext>
              </c:extLst>
            </c:dLbl>
            <c:spPr>
              <a:noFill/>
              <a:ln>
                <a:noFill/>
              </a:ln>
              <a:effectLst/>
            </c:spPr>
            <c:txPr>
              <a:bodyPr rot="0" spcFirstLastPara="0" vertOverflow="ellipsis" vert="horz" wrap="square" lIns="38100" tIns="19050" rIns="38100" bIns="19050" anchor="ctr" anchorCtr="1"/>
              <a:lstStyle/>
              <a:p>
                <a:pPr>
                  <a:defRPr lang="pl-PL" sz="1000" b="1" i="0" u="none" strike="noStrike" kern="1200" baseline="0">
                    <a:solidFill>
                      <a:schemeClr val="tx1"/>
                    </a:solidFill>
                    <a:latin typeface="+mn-lt"/>
                    <a:ea typeface="+mn-ea"/>
                    <a:cs typeface="+mn-cs"/>
                  </a:defRPr>
                </a:pPr>
              </a:p>
            </c:txPr>
            <c:dLblPos val="t"/>
            <c:showLegendKey val="0"/>
            <c:showVal val="0"/>
            <c:showCatName val="0"/>
            <c:showSerName val="1"/>
            <c:showPercent val="0"/>
            <c:showBubbleSize val="0"/>
            <c:showLeaderLines val="0"/>
            <c:extLst>
              <c:ext xmlns:c15="http://schemas.microsoft.com/office/drawing/2012/chart" uri="{CE6537A1-D6FC-4f65-9D91-7224C49458BB}">
                <c15:layout/>
                <c15:showLeaderLines val="0"/>
                <c15:leaderLines/>
              </c:ext>
            </c:extLst>
          </c:dLbls>
          <c:xVal>
            <c:numRef>
              <c:f>Loop_Modeling!$O$10</c:f>
              <c:numCache>
                <c:formatCode>0</c:formatCode>
                <c:ptCount val="1"/>
                <c:pt idx="0">
                  <c:v>10150.1876971872</c:v>
                </c:pt>
              </c:numCache>
            </c:numRef>
          </c:xVal>
          <c:yVal>
            <c:numRef>
              <c:f>Loop_Modeling!$BL$10</c:f>
              <c:numCache>
                <c:formatCode>General</c:formatCode>
                <c:ptCount val="1"/>
                <c:pt idx="0">
                  <c:v>-3.03656973538693</c:v>
                </c:pt>
              </c:numCache>
            </c:numRef>
          </c:yVal>
          <c:smooth val="1"/>
        </c:ser>
        <c:ser>
          <c:idx val="5"/>
          <c:order val="5"/>
          <c:tx>
            <c:strRef>
              <c:f>"fz_ea"</c:f>
              <c:strCache>
                <c:ptCount val="1"/>
                <c:pt idx="0">
                  <c:v>fz_ea</c:v>
                </c:pt>
              </c:strCache>
            </c:strRef>
          </c:tx>
          <c:marker>
            <c:symbol val="circle"/>
            <c:size val="8"/>
            <c:spPr>
              <a:noFill/>
              <a:ln w="25400" cap="flat" cmpd="sng" algn="ctr">
                <a:solidFill>
                  <a:srgbClr val="00B0F0"/>
                </a:solidFill>
                <a:prstDash val="solid"/>
                <a:round/>
              </a:ln>
            </c:spPr>
          </c:marker>
          <c:dLbls>
            <c:dLbl>
              <c:idx val="0"/>
              <c:layout/>
              <c:numFmt formatCode="General" sourceLinked="1"/>
              <c:spPr>
                <a:noFill/>
                <a:ln>
                  <a:noFill/>
                </a:ln>
                <a:effectLst/>
              </c:spPr>
              <c:txPr>
                <a:bodyPr rot="0" spcFirstLastPara="0" vertOverflow="ellipsis" vert="horz" wrap="square" lIns="38100" tIns="19050" rIns="38100" bIns="19050" anchor="ctr" anchorCtr="1"/>
                <a:lstStyle/>
                <a:p>
                  <a:pPr>
                    <a:defRPr lang="pl-PL" sz="1000" b="1" i="0" u="none" strike="noStrike" kern="1200" baseline="0">
                      <a:solidFill>
                        <a:schemeClr val="tx1"/>
                      </a:solidFill>
                      <a:latin typeface="+mn-lt"/>
                      <a:ea typeface="+mn-ea"/>
                      <a:cs typeface="+mn-cs"/>
                    </a:defRPr>
                  </a:pPr>
                </a:p>
              </c:txPr>
              <c:dLblPos val="b"/>
              <c:showLegendKey val="0"/>
              <c:showVal val="0"/>
              <c:showCatName val="0"/>
              <c:showSerName val="1"/>
              <c:showPercent val="0"/>
              <c:showBubbleSize val="0"/>
              <c:extLst>
                <c:ext xmlns:c15="http://schemas.microsoft.com/office/drawing/2012/chart" uri="{CE6537A1-D6FC-4f65-9D91-7224C49458BB}"/>
              </c:extLst>
            </c:dLbl>
            <c:spPr>
              <a:noFill/>
              <a:ln>
                <a:noFill/>
              </a:ln>
              <a:effectLst/>
            </c:spPr>
            <c:txPr>
              <a:bodyPr rot="0" spcFirstLastPara="0" vertOverflow="ellipsis" vert="horz" wrap="square" lIns="38100" tIns="19050" rIns="38100" bIns="19050" anchor="ctr" anchorCtr="1"/>
              <a:lstStyle/>
              <a:p>
                <a:pPr>
                  <a:defRPr lang="pl-PL" sz="1000" b="0" i="0" u="none" strike="noStrike" kern="1200" baseline="0">
                    <a:solidFill>
                      <a:schemeClr val="tx1"/>
                    </a:solidFill>
                    <a:latin typeface="+mn-lt"/>
                    <a:ea typeface="+mn-ea"/>
                    <a:cs typeface="+mn-cs"/>
                  </a:defRPr>
                </a:pPr>
              </a:p>
            </c:txPr>
            <c:dLblPos val="r"/>
            <c:showLegendKey val="0"/>
            <c:showVal val="0"/>
            <c:showCatName val="0"/>
            <c:showSerName val="0"/>
            <c:showPercent val="0"/>
            <c:showBubbleSize val="0"/>
            <c:showLeaderLines val="0"/>
            <c:extLst>
              <c:ext xmlns:c15="http://schemas.microsoft.com/office/drawing/2012/chart" uri="{CE6537A1-D6FC-4f65-9D91-7224C49458BB}">
                <c15:layout/>
                <c15:showLeaderLines val="0"/>
                <c15:leaderLines/>
              </c:ext>
            </c:extLst>
          </c:dLbls>
          <c:xVal>
            <c:numRef>
              <c:f>Loop_Modeling!$O$12</c:f>
              <c:numCache>
                <c:formatCode>General</c:formatCode>
                <c:ptCount val="1"/>
                <c:pt idx="0">
                  <c:v>289.372623803446</c:v>
                </c:pt>
              </c:numCache>
            </c:numRef>
          </c:xVal>
          <c:yVal>
            <c:numRef>
              <c:f>Loop_Modeling!$BL$12</c:f>
              <c:numCache>
                <c:formatCode>General</c:formatCode>
                <c:ptCount val="1"/>
                <c:pt idx="0">
                  <c:v>19.9608346100358</c:v>
                </c:pt>
              </c:numCache>
            </c:numRef>
          </c:yVal>
          <c:smooth val="1"/>
        </c:ser>
        <c:ser>
          <c:idx val="6"/>
          <c:order val="6"/>
          <c:tx>
            <c:strRef>
              <c:f>"fp_ea"</c:f>
              <c:strCache>
                <c:ptCount val="1"/>
                <c:pt idx="0">
                  <c:v>fp_ea</c:v>
                </c:pt>
              </c:strCache>
            </c:strRef>
          </c:tx>
          <c:marker>
            <c:symbol val="x"/>
            <c:size val="7"/>
            <c:spPr>
              <a:noFill/>
              <a:ln w="25400" cap="flat" cmpd="sng" algn="ctr">
                <a:solidFill>
                  <a:srgbClr val="00B0F0"/>
                </a:solidFill>
                <a:prstDash val="solid"/>
                <a:round/>
              </a:ln>
            </c:spPr>
          </c:marker>
          <c:dLbls>
            <c:dLbl>
              <c:idx val="0"/>
              <c:layout>
                <c:manualLayout>
                  <c:x val="-0.0539957399119839"/>
                  <c:y val="0.0337125100090066"/>
                </c:manualLayout>
              </c:layout>
              <c:dLblPos val="r"/>
              <c:showLegendKey val="0"/>
              <c:showVal val="0"/>
              <c:showCatName val="0"/>
              <c:showSerName val="1"/>
              <c:showPercent val="0"/>
              <c:showBubbleSize val="0"/>
              <c:extLst>
                <c:ext xmlns:c15="http://schemas.microsoft.com/office/drawing/2012/chart" uri="{CE6537A1-D6FC-4f65-9D91-7224C49458BB}">
                  <c15:layout/>
                </c:ext>
              </c:extLst>
            </c:dLbl>
            <c:spPr>
              <a:noFill/>
              <a:ln>
                <a:noFill/>
              </a:ln>
              <a:effectLst/>
            </c:spPr>
            <c:txPr>
              <a:bodyPr rot="0" spcFirstLastPara="0" vertOverflow="ellipsis" vert="horz" wrap="square" lIns="38100" tIns="19050" rIns="38100" bIns="19050" anchor="ctr" anchorCtr="1"/>
              <a:lstStyle/>
              <a:p>
                <a:pPr>
                  <a:defRPr lang="pl-PL" sz="1000" b="1" i="0" u="none" strike="noStrike" kern="1200" baseline="0">
                    <a:solidFill>
                      <a:schemeClr val="tx1"/>
                    </a:solidFill>
                    <a:latin typeface="+mn-lt"/>
                    <a:ea typeface="+mn-ea"/>
                    <a:cs typeface="+mn-cs"/>
                  </a:defRPr>
                </a:pPr>
              </a:p>
            </c:txPr>
            <c:dLblPos val="b"/>
            <c:showLegendKey val="0"/>
            <c:showVal val="0"/>
            <c:showCatName val="0"/>
            <c:showSerName val="1"/>
            <c:showPercent val="0"/>
            <c:showBubbleSize val="0"/>
            <c:showLeaderLines val="0"/>
            <c:extLst>
              <c:ext xmlns:c15="http://schemas.microsoft.com/office/drawing/2012/chart" uri="{CE6537A1-D6FC-4f65-9D91-7224C49458BB}">
                <c15:layout/>
                <c15:showLeaderLines val="0"/>
                <c15:leaderLines/>
              </c:ext>
            </c:extLst>
          </c:dLbls>
          <c:xVal>
            <c:numRef>
              <c:f>Loop_Modeling!$O$13</c:f>
              <c:numCache>
                <c:formatCode>General</c:formatCode>
                <c:ptCount val="1"/>
                <c:pt idx="0">
                  <c:v>13834.4741635392</c:v>
                </c:pt>
              </c:numCache>
            </c:numRef>
          </c:xVal>
          <c:yVal>
            <c:numRef>
              <c:f>Loop_Modeling!$BL$13</c:f>
              <c:numCache>
                <c:formatCode>General</c:formatCode>
                <c:ptCount val="1"/>
                <c:pt idx="0">
                  <c:v>-2.98369100965925</c:v>
                </c:pt>
              </c:numCache>
            </c:numRef>
          </c:yVal>
          <c:smooth val="1"/>
        </c:ser>
        <c:dLbls>
          <c:showLegendKey val="0"/>
          <c:showVal val="0"/>
          <c:showCatName val="0"/>
          <c:showSerName val="0"/>
          <c:showPercent val="0"/>
          <c:showBubbleSize val="0"/>
        </c:dLbls>
        <c:axId val="174189952"/>
        <c:axId val="175126016"/>
      </c:scatterChart>
      <c:scatterChart>
        <c:scatterStyle val="smooth"/>
        <c:varyColors val="0"/>
        <c:ser>
          <c:idx val="1"/>
          <c:order val="1"/>
          <c:tx>
            <c:strRef>
              <c:f>"Phase (deg)"</c:f>
              <c:strCache>
                <c:ptCount val="1"/>
                <c:pt idx="0">
                  <c:v>Phase (deg)</c:v>
                </c:pt>
              </c:strCache>
            </c:strRef>
          </c:tx>
          <c:spPr>
            <a:ln w="28575" cap="rnd" cmpd="sng" algn="ctr">
              <a:solidFill>
                <a:schemeClr val="tx1">
                  <a:lumMod val="95000"/>
                  <a:lumOff val="5000"/>
                </a:schemeClr>
              </a:solidFill>
              <a:prstDash val="sysDash"/>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Loop_Modeling!$BM$19:$BM$560</c:f>
              <c:numCache>
                <c:formatCode>General</c:formatCode>
                <c:ptCount val="542"/>
                <c:pt idx="0">
                  <c:v>84.4042018112445</c:v>
                </c:pt>
                <c:pt idx="1">
                  <c:v>84.2758427991387</c:v>
                </c:pt>
                <c:pt idx="2">
                  <c:v>84.1446336940738</c:v>
                </c:pt>
                <c:pt idx="3">
                  <c:v>84.0105178517381</c:v>
                </c:pt>
                <c:pt idx="4">
                  <c:v>83.8734379749968</c:v>
                </c:pt>
                <c:pt idx="5">
                  <c:v>83.7333361427967</c:v>
                </c:pt>
                <c:pt idx="6">
                  <c:v>83.5901538424878</c:v>
                </c:pt>
                <c:pt idx="7">
                  <c:v>83.4438320057856</c:v>
                </c:pt>
                <c:pt idx="8">
                  <c:v>83.2943110486172</c:v>
                </c:pt>
                <c:pt idx="9">
                  <c:v>83.1415309151005</c:v>
                </c:pt>
                <c:pt idx="10">
                  <c:v>82.9854311259171</c:v>
                </c:pt>
                <c:pt idx="11">
                  <c:v>82.8259508313533</c:v>
                </c:pt>
                <c:pt idx="12">
                  <c:v>82.6630288692908</c:v>
                </c:pt>
                <c:pt idx="13">
                  <c:v>82.4966038284419</c:v>
                </c:pt>
                <c:pt idx="14">
                  <c:v>82.3266141171344</c:v>
                </c:pt>
                <c:pt idx="15">
                  <c:v>82.1529980379592</c:v>
                </c:pt>
                <c:pt idx="16">
                  <c:v>81.9756938686079</c:v>
                </c:pt>
                <c:pt idx="17">
                  <c:v>81.7946399492292</c:v>
                </c:pt>
                <c:pt idx="18">
                  <c:v>81.6097747766505</c:v>
                </c:pt>
                <c:pt idx="19">
                  <c:v>81.4210371058076</c:v>
                </c:pt>
                <c:pt idx="20">
                  <c:v>81.2283660587419</c:v>
                </c:pt>
                <c:pt idx="21">
                  <c:v>81.0317012415198</c:v>
                </c:pt>
                <c:pt idx="22">
                  <c:v>80.8309828694386</c:v>
                </c:pt>
                <c:pt idx="23">
                  <c:v>80.626151900878</c:v>
                </c:pt>
                <c:pt idx="24">
                  <c:v>80.4171501801637</c:v>
                </c:pt>
                <c:pt idx="25">
                  <c:v>80.2039205897932</c:v>
                </c:pt>
                <c:pt idx="26">
                  <c:v>79.9864072123834</c:v>
                </c:pt>
                <c:pt idx="27">
                  <c:v>79.7645555026708</c:v>
                </c:pt>
                <c:pt idx="28">
                  <c:v>79.5383124699033</c:v>
                </c:pt>
                <c:pt idx="29">
                  <c:v>79.3076268709232</c:v>
                </c:pt>
                <c:pt idx="30">
                  <c:v>79.0724494142394</c:v>
                </c:pt>
                <c:pt idx="31">
                  <c:v>78.8327329753466</c:v>
                </c:pt>
                <c:pt idx="32">
                  <c:v>78.5884328235251</c:v>
                </c:pt>
                <c:pt idx="33">
                  <c:v>78.3395068603135</c:v>
                </c:pt>
                <c:pt idx="34">
                  <c:v>78.08591586981</c:v>
                </c:pt>
                <c:pt idx="35">
                  <c:v>77.8276237808985</c:v>
                </c:pt>
                <c:pt idx="36">
                  <c:v>77.5645979414505</c:v>
                </c:pt>
                <c:pt idx="37">
                  <c:v>77.2968094044803</c:v>
                </c:pt>
                <c:pt idx="38">
                  <c:v>77.024233226166</c:v>
                </c:pt>
                <c:pt idx="39">
                  <c:v>76.7468487755647</c:v>
                </c:pt>
                <c:pt idx="40">
                  <c:v>76.464640055768</c:v>
                </c:pt>
                <c:pt idx="41">
                  <c:v>76.177596036139</c:v>
                </c:pt>
                <c:pt idx="42">
                  <c:v>75.8857109951746</c:v>
                </c:pt>
                <c:pt idx="43">
                  <c:v>75.5889848734181</c:v>
                </c:pt>
                <c:pt idx="44">
                  <c:v>75.2874236357246</c:v>
                </c:pt>
                <c:pt idx="45">
                  <c:v>74.9810396420506</c:v>
                </c:pt>
                <c:pt idx="46">
                  <c:v>74.6698520257993</c:v>
                </c:pt>
                <c:pt idx="47">
                  <c:v>74.3538870786016</c:v>
                </c:pt>
                <c:pt idx="48">
                  <c:v>74.0331786402626</c:v>
                </c:pt>
                <c:pt idx="49">
                  <c:v>73.7077684924361</c:v>
                </c:pt>
                <c:pt idx="50">
                  <c:v>73.3777067544249</c:v>
                </c:pt>
                <c:pt idx="51">
                  <c:v>73.0430522793315</c:v>
                </c:pt>
                <c:pt idx="52">
                  <c:v>72.7038730486111</c:v>
                </c:pt>
                <c:pt idx="53">
                  <c:v>72.3602465628987</c:v>
                </c:pt>
                <c:pt idx="54">
                  <c:v>72.0122602268136</c:v>
                </c:pt>
                <c:pt idx="55">
                  <c:v>71.6600117252676</c:v>
                </c:pt>
                <c:pt idx="56">
                  <c:v>71.3036093886388</c:v>
                </c:pt>
                <c:pt idx="57">
                  <c:v>70.9431725440187</c:v>
                </c:pt>
                <c:pt idx="58">
                  <c:v>70.5788318495866</c:v>
                </c:pt>
                <c:pt idx="59">
                  <c:v>70.2107296090409</c:v>
                </c:pt>
                <c:pt idx="60">
                  <c:v>69.8390200628972</c:v>
                </c:pt>
                <c:pt idx="61">
                  <c:v>69.4638696533707</c:v>
                </c:pt>
                <c:pt idx="62">
                  <c:v>69.0854572594909</c:v>
                </c:pt>
                <c:pt idx="63">
                  <c:v>68.7039743990545</c:v>
                </c:pt>
                <c:pt idx="64">
                  <c:v>68.3196253940114</c:v>
                </c:pt>
                <c:pt idx="65">
                  <c:v>67.932627495897</c:v>
                </c:pt>
                <c:pt idx="66">
                  <c:v>67.5432109679933</c:v>
                </c:pt>
                <c:pt idx="67">
                  <c:v>67.1516191209821</c:v>
                </c:pt>
                <c:pt idx="68">
                  <c:v>66.7581082990153</c:v>
                </c:pt>
                <c:pt idx="69">
                  <c:v>66.3629478132842</c:v>
                </c:pt>
                <c:pt idx="70">
                  <c:v>65.9664198204173</c:v>
                </c:pt>
                <c:pt idx="71">
                  <c:v>65.5688191432894</c:v>
                </c:pt>
                <c:pt idx="72">
                  <c:v>65.1704530321424</c:v>
                </c:pt>
                <c:pt idx="73">
                  <c:v>64.7716408642726</c:v>
                </c:pt>
                <c:pt idx="74">
                  <c:v>64.3727137809301</c:v>
                </c:pt>
                <c:pt idx="75">
                  <c:v>63.9740142605028</c:v>
                </c:pt>
                <c:pt idx="76">
                  <c:v>63.575895627522</c:v>
                </c:pt>
                <c:pt idx="77">
                  <c:v>63.1787214975108</c:v>
                </c:pt>
                <c:pt idx="78">
                  <c:v>62.7828651582109</c:v>
                </c:pt>
                <c:pt idx="79">
                  <c:v>62.3887088882361</c:v>
                </c:pt>
                <c:pt idx="80">
                  <c:v>61.9966432147475</c:v>
                </c:pt>
                <c:pt idx="81">
                  <c:v>61.6070661122641</c:v>
                </c:pt>
                <c:pt idx="82">
                  <c:v>61.220382145254</c:v>
                </c:pt>
                <c:pt idx="83">
                  <c:v>60.8370015576555</c:v>
                </c:pt>
                <c:pt idx="84">
                  <c:v>60.4573393129638</c:v>
                </c:pt>
                <c:pt idx="85">
                  <c:v>60.0818140889702</c:v>
                </c:pt>
                <c:pt idx="86">
                  <c:v>59.7108472316538</c:v>
                </c:pt>
                <c:pt idx="87">
                  <c:v>59.3448616730926</c:v>
                </c:pt>
                <c:pt idx="88">
                  <c:v>58.9842808185774</c:v>
                </c:pt>
                <c:pt idx="89">
                  <c:v>58.6295274083693</c:v>
                </c:pt>
                <c:pt idx="90">
                  <c:v>58.2810223597359</c:v>
                </c:pt>
                <c:pt idx="91">
                  <c:v>57.939183595044</c:v>
                </c:pt>
                <c:pt idx="92">
                  <c:v>57.6044248617424</c:v>
                </c:pt>
                <c:pt idx="93">
                  <c:v>57.2771545500877</c:v>
                </c:pt>
                <c:pt idx="94">
                  <c:v>56.9577745143909</c:v>
                </c:pt>
                <c:pt idx="95">
                  <c:v>56.6466789034583</c:v>
                </c:pt>
                <c:pt idx="96">
                  <c:v>56.344253005709</c:v>
                </c:pt>
                <c:pt idx="97">
                  <c:v>56.0508721142359</c:v>
                </c:pt>
                <c:pt idx="98">
                  <c:v>55.7669004167896</c:v>
                </c:pt>
                <c:pt idx="99">
                  <c:v>55.492689915363</c:v>
                </c:pt>
                <c:pt idx="100">
                  <c:v>55.2285793797043</c:v>
                </c:pt>
                <c:pt idx="101">
                  <c:v>54.9748933387154</c:v>
                </c:pt>
                <c:pt idx="102">
                  <c:v>54.7319411133231</c:v>
                </c:pt>
                <c:pt idx="103">
                  <c:v>54.5000158939966</c:v>
                </c:pt>
                <c:pt idx="104">
                  <c:v>54.2793938657257</c:v>
                </c:pt>
                <c:pt idx="105">
                  <c:v>54.0703333828633</c:v>
                </c:pt>
                <c:pt idx="106">
                  <c:v>53.8730741958923</c:v>
                </c:pt>
                <c:pt idx="107">
                  <c:v>53.6878367318197</c:v>
                </c:pt>
                <c:pt idx="108">
                  <c:v>53.5148214295843</c:v>
                </c:pt>
                <c:pt idx="109">
                  <c:v>53.3542081315771</c:v>
                </c:pt>
                <c:pt idx="110">
                  <c:v>53.2061555321192</c:v>
                </c:pt>
                <c:pt idx="111">
                  <c:v>53.070800683516</c:v>
                </c:pt>
                <c:pt idx="112">
                  <c:v>52.9482585601329</c:v>
                </c:pt>
                <c:pt idx="113">
                  <c:v>52.8386216807738</c:v>
                </c:pt>
                <c:pt idx="114">
                  <c:v>52.7419597895458</c:v>
                </c:pt>
                <c:pt idx="115">
                  <c:v>52.6583195952952</c:v>
                </c:pt>
                <c:pt idx="116">
                  <c:v>52.5877245696557</c:v>
                </c:pt>
                <c:pt idx="117">
                  <c:v>52.5301748037119</c:v>
                </c:pt>
                <c:pt idx="118">
                  <c:v>52.4856469232668</c:v>
                </c:pt>
                <c:pt idx="119">
                  <c:v>52.4540940627123</c:v>
                </c:pt>
                <c:pt idx="120">
                  <c:v>52.4354458974955</c:v>
                </c:pt>
                <c:pt idx="121">
                  <c:v>52.4296087351941</c:v>
                </c:pt>
                <c:pt idx="122">
                  <c:v>52.436465665216</c:v>
                </c:pt>
                <c:pt idx="123">
                  <c:v>52.4558767671243</c:v>
                </c:pt>
                <c:pt idx="124">
                  <c:v>52.4876793775821</c:v>
                </c:pt>
                <c:pt idx="125">
                  <c:v>52.5316884158512</c:v>
                </c:pt>
                <c:pt idx="126">
                  <c:v>52.5876967677184</c:v>
                </c:pt>
                <c:pt idx="127">
                  <c:v>52.6554757276227</c:v>
                </c:pt>
                <c:pt idx="128">
                  <c:v>52.7347754986172</c:v>
                </c:pt>
                <c:pt idx="129">
                  <c:v>52.8253257496417</c:v>
                </c:pt>
                <c:pt idx="130">
                  <c:v>52.9268362293675</c:v>
                </c:pt>
                <c:pt idx="131">
                  <c:v>53.0389974356485</c:v>
                </c:pt>
                <c:pt idx="132">
                  <c:v>53.1614813393279</c:v>
                </c:pt>
                <c:pt idx="133">
                  <c:v>53.2939421608552</c:v>
                </c:pt>
                <c:pt idx="134">
                  <c:v>53.4360171978251</c:v>
                </c:pt>
                <c:pt idx="135">
                  <c:v>53.5873277012061</c:v>
                </c:pt>
                <c:pt idx="136">
                  <c:v>53.7474797976418</c:v>
                </c:pt>
                <c:pt idx="137">
                  <c:v>53.9160654548247</c:v>
                </c:pt>
                <c:pt idx="138">
                  <c:v>54.0926634865621</c:v>
                </c:pt>
                <c:pt idx="139">
                  <c:v>54.2768405937545</c:v>
                </c:pt>
                <c:pt idx="140">
                  <c:v>54.4681524371486</c:v>
                </c:pt>
                <c:pt idx="141">
                  <c:v>54.6661447373594</c:v>
                </c:pt>
                <c:pt idx="142">
                  <c:v>54.8703543973387</c:v>
                </c:pt>
                <c:pt idx="143">
                  <c:v>55.080310642177</c:v>
                </c:pt>
                <c:pt idx="144">
                  <c:v>55.2955361708771</c:v>
                </c:pt>
                <c:pt idx="145">
                  <c:v>55.5155483145376</c:v>
                </c:pt>
                <c:pt idx="146">
                  <c:v>55.7398601952476</c:v>
                </c:pt>
                <c:pt idx="147">
                  <c:v>55.9679818799069</c:v>
                </c:pt>
                <c:pt idx="148">
                  <c:v>56.1994215231659</c:v>
                </c:pt>
                <c:pt idx="149">
                  <c:v>56.4336864937216</c:v>
                </c:pt>
                <c:pt idx="150">
                  <c:v>56.6702844783218</c:v>
                </c:pt>
                <c:pt idx="151">
                  <c:v>56.9087245579942</c:v>
                </c:pt>
                <c:pt idx="152">
                  <c:v>57.1485182512598</c:v>
                </c:pt>
                <c:pt idx="153">
                  <c:v>57.3891805193825</c:v>
                </c:pt>
                <c:pt idx="154">
                  <c:v>57.6302307290589</c:v>
                </c:pt>
                <c:pt idx="155">
                  <c:v>57.8711935683465</c:v>
                </c:pt>
                <c:pt idx="156">
                  <c:v>58.1115999120747</c:v>
                </c:pt>
                <c:pt idx="157">
                  <c:v>58.3509876334584</c:v>
                </c:pt>
                <c:pt idx="158">
                  <c:v>58.5889023591347</c:v>
                </c:pt>
                <c:pt idx="159">
                  <c:v>58.824898165376</c:v>
                </c:pt>
                <c:pt idx="160">
                  <c:v>59.0585382137564</c:v>
                </c:pt>
                <c:pt idx="161">
                  <c:v>59.2893953251024</c:v>
                </c:pt>
                <c:pt idx="162">
                  <c:v>59.5170524910809</c:v>
                </c:pt>
                <c:pt idx="163">
                  <c:v>59.7411033233119</c:v>
                </c:pt>
                <c:pt idx="164">
                  <c:v>59.9611524403938</c:v>
                </c:pt>
                <c:pt idx="165">
                  <c:v>60.1768157937091</c:v>
                </c:pt>
                <c:pt idx="166">
                  <c:v>60.3877209333399</c:v>
                </c:pt>
                <c:pt idx="167">
                  <c:v>60.5935072158275</c:v>
                </c:pt>
                <c:pt idx="168">
                  <c:v>60.7938259559039</c:v>
                </c:pt>
                <c:pt idx="169">
                  <c:v>60.9883405246468</c:v>
                </c:pt>
                <c:pt idx="170">
                  <c:v>61.1767263968297</c:v>
                </c:pt>
                <c:pt idx="171">
                  <c:v>61.3586711504697</c:v>
                </c:pt>
                <c:pt idx="172">
                  <c:v>61.5338744218032</c:v>
                </c:pt>
                <c:pt idx="173">
                  <c:v>61.7020478190831</c:v>
                </c:pt>
                <c:pt idx="174">
                  <c:v>61.862914798712</c:v>
                </c:pt>
                <c:pt idx="175">
                  <c:v>62.016210507326</c:v>
                </c:pt>
                <c:pt idx="176">
                  <c:v>62.1616815934752</c:v>
                </c:pt>
                <c:pt idx="177">
                  <c:v>62.2990859925789</c:v>
                </c:pt>
                <c:pt idx="178">
                  <c:v>62.4281926887997</c:v>
                </c:pt>
                <c:pt idx="179">
                  <c:v>62.5487814574448</c:v>
                </c:pt>
                <c:pt idx="180">
                  <c:v>62.6606425914191</c:v>
                </c:pt>
                <c:pt idx="181">
                  <c:v>62.7635766151708</c:v>
                </c:pt>
                <c:pt idx="182">
                  <c:v>62.857393989439</c:v>
                </c:pt>
                <c:pt idx="183">
                  <c:v>62.9419148099947</c:v>
                </c:pt>
                <c:pt idx="184">
                  <c:v>63.0169685034132</c:v>
                </c:pt>
                <c:pt idx="185">
                  <c:v>63.0823935227603</c:v>
                </c:pt>
                <c:pt idx="186">
                  <c:v>63.1380370459113</c:v>
                </c:pt>
                <c:pt idx="187">
                  <c:v>63.1837546790524</c:v>
                </c:pt>
                <c:pt idx="188">
                  <c:v>63.2194101677395</c:v>
                </c:pt>
                <c:pt idx="189">
                  <c:v>63.244875117713</c:v>
                </c:pt>
                <c:pt idx="190">
                  <c:v>63.2600287274879</c:v>
                </c:pt>
                <c:pt idx="191">
                  <c:v>63.2647575345767</c:v>
                </c:pt>
                <c:pt idx="192">
                  <c:v>63.2589551770099</c:v>
                </c:pt>
                <c:pt idx="193">
                  <c:v>63.2425221716649</c:v>
                </c:pt>
                <c:pt idx="194">
                  <c:v>63.2153657107407</c:v>
                </c:pt>
                <c:pt idx="195">
                  <c:v>63.1773994775517</c:v>
                </c:pt>
                <c:pt idx="196">
                  <c:v>63.1285434826554</c:v>
                </c:pt>
                <c:pt idx="197">
                  <c:v>63.0687239211782</c:v>
                </c:pt>
                <c:pt idx="198">
                  <c:v>62.9978730520392</c:v>
                </c:pt>
                <c:pt idx="199">
                  <c:v>62.9159290996361</c:v>
                </c:pt>
                <c:pt idx="200">
                  <c:v>62.8228361784022</c:v>
                </c:pt>
                <c:pt idx="201">
                  <c:v>62.7185442405007</c:v>
                </c:pt>
                <c:pt idx="202">
                  <c:v>62.6030090467832</c:v>
                </c:pt>
                <c:pt idx="203">
                  <c:v>62.47619216099</c:v>
                </c:pt>
                <c:pt idx="204">
                  <c:v>62.3380609670344</c:v>
                </c:pt>
                <c:pt idx="205">
                  <c:v>62.1885887090675</c:v>
                </c:pt>
                <c:pt idx="206">
                  <c:v>62.0277545538764</c:v>
                </c:pt>
                <c:pt idx="207">
                  <c:v>61.8555436750192</c:v>
                </c:pt>
                <c:pt idx="208">
                  <c:v>61.6719473579591</c:v>
                </c:pt>
                <c:pt idx="209">
                  <c:v>61.476963125301</c:v>
                </c:pt>
                <c:pt idx="210">
                  <c:v>61.2705948810847</c:v>
                </c:pt>
                <c:pt idx="211">
                  <c:v>61.0528530729242</c:v>
                </c:pt>
                <c:pt idx="212">
                  <c:v>60.8237548706311</c:v>
                </c:pt>
                <c:pt idx="213">
                  <c:v>60.5833243597824</c:v>
                </c:pt>
                <c:pt idx="214">
                  <c:v>60.3315927485344</c:v>
                </c:pt>
                <c:pt idx="215">
                  <c:v>60.0685985858106</c:v>
                </c:pt>
                <c:pt idx="216">
                  <c:v>59.7943879888165</c:v>
                </c:pt>
                <c:pt idx="217">
                  <c:v>59.5090148776662</c:v>
                </c:pt>
                <c:pt idx="218">
                  <c:v>59.2125412147281</c:v>
                </c:pt>
                <c:pt idx="219">
                  <c:v>58.9050372461333</c:v>
                </c:pt>
                <c:pt idx="220">
                  <c:v>58.5865817427177</c:v>
                </c:pt>
                <c:pt idx="221">
                  <c:v>58.2572622375118</c:v>
                </c:pt>
                <c:pt idx="222">
                  <c:v>57.9171752567481</c:v>
                </c:pt>
                <c:pt idx="223">
                  <c:v>57.5664265412047</c:v>
                </c:pt>
                <c:pt idx="224">
                  <c:v>57.2051312545849</c:v>
                </c:pt>
                <c:pt idx="225">
                  <c:v>56.8334141755294</c:v>
                </c:pt>
                <c:pt idx="226">
                  <c:v>56.4514098697602</c:v>
                </c:pt>
                <c:pt idx="227">
                  <c:v>56.0592628387989</c:v>
                </c:pt>
                <c:pt idx="228">
                  <c:v>55.6571276416646</c:v>
                </c:pt>
                <c:pt idx="229">
                  <c:v>55.2451689859466</c:v>
                </c:pt>
                <c:pt idx="230">
                  <c:v>54.8235617846827</c:v>
                </c:pt>
                <c:pt idx="231">
                  <c:v>54.3924911755286</c:v>
                </c:pt>
                <c:pt idx="232">
                  <c:v>53.9521524988129</c:v>
                </c:pt>
                <c:pt idx="233">
                  <c:v>53.5027512312196</c:v>
                </c:pt>
                <c:pt idx="234">
                  <c:v>53.0445028720218</c:v>
                </c:pt>
                <c:pt idx="235">
                  <c:v>52.5776327790294</c:v>
                </c:pt>
                <c:pt idx="236">
                  <c:v>52.1023759516938</c:v>
                </c:pt>
                <c:pt idx="237">
                  <c:v>51.6189767591297</c:v>
                </c:pt>
                <c:pt idx="238">
                  <c:v>51.1276886111914</c:v>
                </c:pt>
                <c:pt idx="239">
                  <c:v>50.6287735711504</c:v>
                </c:pt>
                <c:pt idx="240">
                  <c:v>50.1225019089721</c:v>
                </c:pt>
                <c:pt idx="241">
                  <c:v>49.6091515946798</c:v>
                </c:pt>
                <c:pt idx="242">
                  <c:v>49.0890077318169</c:v>
                </c:pt>
                <c:pt idx="243">
                  <c:v>48.5623619315653</c:v>
                </c:pt>
                <c:pt idx="244">
                  <c:v>48.0295116286521</c:v>
                </c:pt>
                <c:pt idx="245">
                  <c:v>47.4907593407517</c:v>
                </c:pt>
                <c:pt idx="246">
                  <c:v>46.9464118736961</c:v>
                </c:pt>
                <c:pt idx="247">
                  <c:v>46.3967794753849</c:v>
                </c:pt>
                <c:pt idx="248">
                  <c:v>45.8421749418714</c:v>
                </c:pt>
                <c:pt idx="249">
                  <c:v>45.2829126796702</c:v>
                </c:pt>
                <c:pt idx="250">
                  <c:v>44.7193077288642</c:v>
                </c:pt>
                <c:pt idx="251">
                  <c:v>44.1516747520964</c:v>
                </c:pt>
                <c:pt idx="252">
                  <c:v>43.5803269949973</c:v>
                </c:pt>
                <c:pt idx="253">
                  <c:v>43.0055752240143</c:v>
                </c:pt>
                <c:pt idx="254">
                  <c:v>42.4277266479641</c:v>
                </c:pt>
                <c:pt idx="255">
                  <c:v>41.8470838299445</c:v>
                </c:pt>
                <c:pt idx="256">
                  <c:v>41.2639435964597</c:v>
                </c:pt>
                <c:pt idx="257">
                  <c:v>40.6785959508047</c:v>
                </c:pt>
                <c:pt idx="258">
                  <c:v>40.0913229978338</c:v>
                </c:pt>
                <c:pt idx="259">
                  <c:v>39.5023978872874</c:v>
                </c:pt>
                <c:pt idx="260">
                  <c:v>38.9120837827941</c:v>
                </c:pt>
                <c:pt idx="261">
                  <c:v>38.3206328635741</c:v>
                </c:pt>
                <c:pt idx="262">
                  <c:v>37.7282853656829</c:v>
                </c:pt>
                <c:pt idx="263">
                  <c:v>37.1352686694092</c:v>
                </c:pt>
                <c:pt idx="264">
                  <c:v>36.541796439137</c:v>
                </c:pt>
                <c:pt idx="265">
                  <c:v>35.9480678216492</c:v>
                </c:pt>
                <c:pt idx="266">
                  <c:v>35.354266708441</c:v>
                </c:pt>
                <c:pt idx="267">
                  <c:v>34.760561067186</c:v>
                </c:pt>
                <c:pt idx="268">
                  <c:v>34.1671023470269</c:v>
                </c:pt>
                <c:pt idx="269">
                  <c:v>33.574024961847</c:v>
                </c:pt>
                <c:pt idx="270">
                  <c:v>32.9814458551697</c:v>
                </c:pt>
                <c:pt idx="271">
                  <c:v>32.3894641497683</c:v>
                </c:pt>
                <c:pt idx="272">
                  <c:v>31.798160884522</c:v>
                </c:pt>
                <c:pt idx="273">
                  <c:v>31.207598840461</c:v>
                </c:pt>
                <c:pt idx="274">
                  <c:v>30.6178224573844</c:v>
                </c:pt>
                <c:pt idx="275">
                  <c:v>30.0288578418292</c:v>
                </c:pt>
                <c:pt idx="276">
                  <c:v>29.4407128665933</c:v>
                </c:pt>
                <c:pt idx="277">
                  <c:v>28.8533773614284</c:v>
                </c:pt>
                <c:pt idx="278">
                  <c:v>28.2668233939259</c:v>
                </c:pt>
                <c:pt idx="279">
                  <c:v>27.681005639047</c:v>
                </c:pt>
                <c:pt idx="280">
                  <c:v>27.0958618351718</c:v>
                </c:pt>
                <c:pt idx="281">
                  <c:v>26.511313323972</c:v>
                </c:pt>
                <c:pt idx="282">
                  <c:v>25.9272656708531</c:v>
                </c:pt>
                <c:pt idx="283">
                  <c:v>25.3436093621655</c:v>
                </c:pt>
                <c:pt idx="284">
                  <c:v>24.7602205748502</c:v>
                </c:pt>
                <c:pt idx="285">
                  <c:v>24.1769620136584</c:v>
                </c:pt>
                <c:pt idx="286">
                  <c:v>23.593683810599</c:v>
                </c:pt>
                <c:pt idx="287">
                  <c:v>23.0102244807821</c:v>
                </c:pt>
                <c:pt idx="288">
                  <c:v>22.4264119283843</c:v>
                </c:pt>
                <c:pt idx="289">
                  <c:v>21.842064496053</c:v>
                </c:pt>
                <c:pt idx="290">
                  <c:v>21.2569920506985</c:v>
                </c:pt>
                <c:pt idx="291">
                  <c:v>20.6709970982942</c:v>
                </c:pt>
                <c:pt idx="292">
                  <c:v>20.0838759200405</c:v>
                </c:pt>
                <c:pt idx="293">
                  <c:v>19.495419722042</c:v>
                </c:pt>
                <c:pt idx="294">
                  <c:v>18.9054157905022</c:v>
                </c:pt>
                <c:pt idx="295">
                  <c:v>18.3136486443751</c:v>
                </c:pt>
                <c:pt idx="296">
                  <c:v>17.7199011774345</c:v>
                </c:pt>
                <c:pt idx="297">
                  <c:v>17.1239557817978</c:v>
                </c:pt>
                <c:pt idx="298">
                  <c:v>16.5255954451535</c:v>
                </c:pt>
                <c:pt idx="299">
                  <c:v>15.9246048141897</c:v>
                </c:pt>
                <c:pt idx="300">
                  <c:v>15.3207712171041</c:v>
                </c:pt>
                <c:pt idx="301">
                  <c:v>14.7138856385224</c:v>
                </c:pt>
                <c:pt idx="302">
                  <c:v>14.1037436406914</c:v>
                </c:pt>
                <c:pt idx="303">
                  <c:v>13.4901462254377</c:v>
                </c:pt>
                <c:pt idx="304">
                  <c:v>12.8729006320748</c:v>
                </c:pt>
                <c:pt idx="305">
                  <c:v>12.2518210672121</c:v>
                </c:pt>
                <c:pt idx="306">
                  <c:v>11.6267293632229</c:v>
                </c:pt>
                <c:pt idx="307">
                  <c:v>10.9974555630004</c:v>
                </c:pt>
                <c:pt idx="308">
                  <c:v>10.3638384295147</c:v>
                </c:pt>
                <c:pt idx="309">
                  <c:v>9.72572587959363</c:v>
                </c:pt>
                <c:pt idx="310">
                  <c:v>9.0829753422575</c:v>
                </c:pt>
                <c:pt idx="311">
                  <c:v>8.43545404283641</c:v>
                </c:pt>
                <c:pt idx="312">
                  <c:v>7.78303921494998</c:v>
                </c:pt>
                <c:pt idx="313">
                  <c:v>7.12561824328046</c:v>
                </c:pt>
                <c:pt idx="314">
                  <c:v>6.46308874079873</c:v>
                </c:pt>
                <c:pt idx="315">
                  <c:v>5.79535856483733</c:v>
                </c:pt>
                <c:pt idx="316">
                  <c:v>5.12234577698996</c:v>
                </c:pt>
                <c:pt idx="317">
                  <c:v>4.44397855235977</c:v>
                </c:pt>
                <c:pt idx="318">
                  <c:v>3.76019504411225</c:v>
                </c:pt>
                <c:pt idx="319">
                  <c:v>3.0709432095952</c:v>
                </c:pt>
                <c:pt idx="320">
                  <c:v>2.37618060452802</c:v>
                </c:pt>
                <c:pt idx="321">
                  <c:v>1.67587415187259</c:v>
                </c:pt>
                <c:pt idx="322">
                  <c:v>0.969999891998253</c:v>
                </c:pt>
                <c:pt idx="323">
                  <c:v>0.258542720659145</c:v>
                </c:pt>
                <c:pt idx="324">
                  <c:v>-0.45850387887823</c:v>
                </c:pt>
                <c:pt idx="325">
                  <c:v>-1.18113810353355</c:v>
                </c:pt>
                <c:pt idx="326">
                  <c:v>-1.90935009225344</c:v>
                </c:pt>
                <c:pt idx="327">
                  <c:v>-2.64312217678628</c:v>
                </c:pt>
                <c:pt idx="328">
                  <c:v>-3.38242911668043</c:v>
                </c:pt>
                <c:pt idx="329">
                  <c:v>-4.12723831437097</c:v>
                </c:pt>
                <c:pt idx="330">
                  <c:v>-4.87751000682717</c:v>
                </c:pt>
                <c:pt idx="331">
                  <c:v>-5.63319743089928</c:v>
                </c:pt>
                <c:pt idx="332">
                  <c:v>-6.39424696015355</c:v>
                </c:pt>
                <c:pt idx="333">
                  <c:v>-7.16059821168357</c:v>
                </c:pt>
                <c:pt idx="334">
                  <c:v>-7.93218412206834</c:v>
                </c:pt>
                <c:pt idx="335">
                  <c:v>-8.70893099233257</c:v>
                </c:pt>
                <c:pt idx="336">
                  <c:v>-9.49075850241074</c:v>
                </c:pt>
                <c:pt idx="337">
                  <c:v>-10.2775796962872</c:v>
                </c:pt>
                <c:pt idx="338">
                  <c:v>-11.0693009395613</c:v>
                </c:pt>
                <c:pt idx="339">
                  <c:v>-11.8658218517688</c:v>
                </c:pt>
                <c:pt idx="340">
                  <c:v>-12.6670352163162</c:v>
                </c:pt>
                <c:pt idx="341">
                  <c:v>-13.4728268713601</c:v>
                </c:pt>
                <c:pt idx="342">
                  <c:v>-14.2830755853666</c:v>
                </c:pt>
                <c:pt idx="343">
                  <c:v>-15.0976529214726</c:v>
                </c:pt>
                <c:pt idx="344">
                  <c:v>-15.9164230950522</c:v>
                </c:pt>
                <c:pt idx="345">
                  <c:v>-16.7392428291355</c:v>
                </c:pt>
                <c:pt idx="346">
                  <c:v>-17.5659612124978</c:v>
                </c:pt>
                <c:pt idx="347">
                  <c:v>-18.3964195653427</c:v>
                </c:pt>
                <c:pt idx="348">
                  <c:v>-19.2304513175336</c:v>
                </c:pt>
                <c:pt idx="349">
                  <c:v>-20.0678819043096</c:v>
                </c:pt>
                <c:pt idx="350">
                  <c:v>-20.908528684311</c:v>
                </c:pt>
                <c:pt idx="351">
                  <c:v>-21.752200884582</c:v>
                </c:pt>
                <c:pt idx="352">
                  <c:v>-22.5986995769961</c:v>
                </c:pt>
                <c:pt idx="353">
                  <c:v>-23.4478176902427</c:v>
                </c:pt>
                <c:pt idx="354">
                  <c:v>-24.299340061187</c:v>
                </c:pt>
                <c:pt idx="355">
                  <c:v>-25.1530435289834</c:v>
                </c:pt>
                <c:pt idx="356">
                  <c:v>-26.0086970748962</c:v>
                </c:pt>
                <c:pt idx="357">
                  <c:v>-26.8660620102489</c:v>
                </c:pt>
                <c:pt idx="358">
                  <c:v>-27.7248922144094</c:v>
                </c:pt>
                <c:pt idx="359">
                  <c:v>-28.5849344241196</c:v>
                </c:pt>
                <c:pt idx="360">
                  <c:v>-29.445928574892</c:v>
                </c:pt>
                <c:pt idx="361">
                  <c:v>-30.3076081945637</c:v>
                </c:pt>
                <c:pt idx="362">
                  <c:v>-31.169700848478</c:v>
                </c:pt>
                <c:pt idx="363">
                  <c:v>-32.0319286351169</c:v>
                </c:pt>
                <c:pt idx="364">
                  <c:v>-32.8940087304</c:v>
                </c:pt>
                <c:pt idx="365">
                  <c:v>-33.7556539782409</c:v>
                </c:pt>
                <c:pt idx="366">
                  <c:v>-34.6165735243787</c:v>
                </c:pt>
                <c:pt idx="367">
                  <c:v>-35.4764734899516</c:v>
                </c:pt>
                <c:pt idx="368">
                  <c:v>-36.3350576807726</c:v>
                </c:pt>
                <c:pt idx="369">
                  <c:v>-37.1920283278137</c:v>
                </c:pt>
                <c:pt idx="370">
                  <c:v>-38.0470868540071</c:v>
                </c:pt>
                <c:pt idx="371">
                  <c:v>-38.899934662144</c:v>
                </c:pt>
                <c:pt idx="372">
                  <c:v>-39.7502739383777</c:v>
                </c:pt>
                <c:pt idx="373">
                  <c:v>-40.5978084656574</c:v>
                </c:pt>
                <c:pt idx="374">
                  <c:v>-41.4422444412955</c:v>
                </c:pt>
                <c:pt idx="375">
                  <c:v>-42.2832912928375</c:v>
                </c:pt>
                <c:pt idx="376">
                  <c:v>-43.1206624864297</c:v>
                </c:pt>
                <c:pt idx="377">
                  <c:v>-43.9540763220086</c:v>
                </c:pt>
                <c:pt idx="378">
                  <c:v>-44.7832567097974</c:v>
                </c:pt>
                <c:pt idx="379">
                  <c:v>-45.6079339228592</c:v>
                </c:pt>
                <c:pt idx="380">
                  <c:v>-46.4278453207584</c:v>
                </c:pt>
                <c:pt idx="381">
                  <c:v>-47.2427360397497</c:v>
                </c:pt>
                <c:pt idx="382">
                  <c:v>-48.0523596453292</c:v>
                </c:pt>
                <c:pt idx="383">
                  <c:v>-48.8564787434303</c:v>
                </c:pt>
                <c:pt idx="384">
                  <c:v>-49.6548655470337</c:v>
                </c:pt>
                <c:pt idx="385">
                  <c:v>-50.447302395469</c:v>
                </c:pt>
                <c:pt idx="386">
                  <c:v>-51.2335822241997</c:v>
                </c:pt>
                <c:pt idx="387">
                  <c:v>-52.0135089834221</c:v>
                </c:pt>
                <c:pt idx="388">
                  <c:v>-52.7868980043167</c:v>
                </c:pt>
                <c:pt idx="389">
                  <c:v>-53.5535763123202</c:v>
                </c:pt>
                <c:pt idx="390">
                  <c:v>-54.3133828872669</c:v>
                </c:pt>
                <c:pt idx="391">
                  <c:v>-55.066168870739</c:v>
                </c:pt>
                <c:pt idx="392">
                  <c:v>-55.8117977213903</c:v>
                </c:pt>
                <c:pt idx="393">
                  <c:v>-56.5501453194335</c:v>
                </c:pt>
                <c:pt idx="394">
                  <c:v>-57.281100021844</c:v>
                </c:pt>
                <c:pt idx="395">
                  <c:v>-58.0045626701744</c:v>
                </c:pt>
                <c:pt idx="396">
                  <c:v>-58.720446553156</c:v>
                </c:pt>
                <c:pt idx="397">
                  <c:v>-59.4286773265205</c:v>
                </c:pt>
                <c:pt idx="398">
                  <c:v>-60.129192892675</c:v>
                </c:pt>
                <c:pt idx="399">
                  <c:v>-60.8219432430271</c:v>
                </c:pt>
                <c:pt idx="400">
                  <c:v>-61.5068902658827</c:v>
                </c:pt>
                <c:pt idx="401">
                  <c:v>-62.184007522914</c:v>
                </c:pt>
                <c:pt idx="402">
                  <c:v>-62.8532799972438</c:v>
                </c:pt>
                <c:pt idx="403">
                  <c:v>-63.5147038162105</c:v>
                </c:pt>
                <c:pt idx="404">
                  <c:v>-64.1682859518405</c:v>
                </c:pt>
                <c:pt idx="405">
                  <c:v>-64.8140439020182</c:v>
                </c:pt>
                <c:pt idx="406">
                  <c:v>-65.4520053552692</c:v>
                </c:pt>
                <c:pt idx="407">
                  <c:v>-66.0822078419613</c:v>
                </c:pt>
                <c:pt idx="408">
                  <c:v>-66.7046983746366</c:v>
                </c:pt>
                <c:pt idx="409">
                  <c:v>-67.3195330800308</c:v>
                </c:pt>
                <c:pt idx="410">
                  <c:v>-67.926776825214</c:v>
                </c:pt>
                <c:pt idx="411">
                  <c:v>-68.5265028401241</c:v>
                </c:pt>
                <c:pt idx="412">
                  <c:v>-69.1187923386045</c:v>
                </c:pt>
                <c:pt idx="413">
                  <c:v>-69.7037341399012</c:v>
                </c:pt>
                <c:pt idx="414">
                  <c:v>-70.2814242924008</c:v>
                </c:pt>
                <c:pt idx="415">
                  <c:v>-70.8519657012334</c:v>
                </c:pt>
                <c:pt idx="416">
                  <c:v>-71.4154677611935</c:v>
                </c:pt>
                <c:pt idx="417">
                  <c:v>-71.9720459962791</c:v>
                </c:pt>
                <c:pt idx="418">
                  <c:v>-72.5218217069878</c:v>
                </c:pt>
                <c:pt idx="419">
                  <c:v>-73.0649216263627</c:v>
                </c:pt>
                <c:pt idx="420">
                  <c:v>-73.6014775856367</c:v>
                </c:pt>
                <c:pt idx="421">
                  <c:v>-74.1316261901897</c:v>
                </c:pt>
                <c:pt idx="422">
                  <c:v>-74.6555085064004</c:v>
                </c:pt>
                <c:pt idx="423">
                  <c:v>-75.1732697598618</c:v>
                </c:pt>
                <c:pt idx="424">
                  <c:v>-75.6850590453118</c:v>
                </c:pt>
                <c:pt idx="425">
                  <c:v>-76.19102904853</c:v>
                </c:pt>
                <c:pt idx="426">
                  <c:v>-76.6913357803561</c:v>
                </c:pt>
                <c:pt idx="427">
                  <c:v>-77.1861383228994</c:v>
                </c:pt>
                <c:pt idx="428">
                  <c:v>-77.6755985879275</c:v>
                </c:pt>
                <c:pt idx="429">
                  <c:v>-78.1598810873563</c:v>
                </c:pt>
                <c:pt idx="430">
                  <c:v>-78.6391527156908</c:v>
                </c:pt>
                <c:pt idx="431">
                  <c:v>-79.1135825442184</c:v>
                </c:pt>
                <c:pt idx="432">
                  <c:v>-79.5833416267014</c:v>
                </c:pt>
                <c:pt idx="433">
                  <c:v>-80.0486028162681</c:v>
                </c:pt>
                <c:pt idx="434">
                  <c:v>-80.5095405931687</c:v>
                </c:pt>
                <c:pt idx="435">
                  <c:v>-80.9663309030271</c:v>
                </c:pt>
                <c:pt idx="436">
                  <c:v>-81.4191510051831</c:v>
                </c:pt>
                <c:pt idx="437">
                  <c:v>-81.8681793307115</c:v>
                </c:pt>
                <c:pt idx="438">
                  <c:v>-82.3135953496632</c:v>
                </c:pt>
                <c:pt idx="439">
                  <c:v>-82.7555794470745</c:v>
                </c:pt>
                <c:pt idx="440">
                  <c:v>-83.1943128072634</c:v>
                </c:pt>
                <c:pt idx="441">
                  <c:v>-83.6299773059304</c:v>
                </c:pt>
                <c:pt idx="442">
                  <c:v>-84.0627554095625</c:v>
                </c:pt>
                <c:pt idx="443">
                  <c:v>-84.492830081643</c:v>
                </c:pt>
                <c:pt idx="444">
                  <c:v>-84.920384695152</c:v>
                </c:pt>
                <c:pt idx="445">
                  <c:v>-85.3456029508521</c:v>
                </c:pt>
                <c:pt idx="446">
                  <c:v>-85.7686688008407</c:v>
                </c:pt>
                <c:pt idx="447">
                  <c:v>-86.1897663768536</c:v>
                </c:pt>
                <c:pt idx="448">
                  <c:v>-86.6090799228033</c:v>
                </c:pt>
                <c:pt idx="449">
                  <c:v>-87.0267937310358</c:v>
                </c:pt>
                <c:pt idx="450">
                  <c:v>-87.443092081788</c:v>
                </c:pt>
                <c:pt idx="451">
                  <c:v>-87.8581591853301</c:v>
                </c:pt>
                <c:pt idx="452">
                  <c:v>-88.2721791262777</c:v>
                </c:pt>
                <c:pt idx="453">
                  <c:v>-88.6853358095591</c:v>
                </c:pt>
                <c:pt idx="454">
                  <c:v>-89.0978129075241</c:v>
                </c:pt>
                <c:pt idx="455">
                  <c:v>-89.5097938076792</c:v>
                </c:pt>
                <c:pt idx="456">
                  <c:v>-89.9214615605401</c:v>
                </c:pt>
                <c:pt idx="457">
                  <c:v>-90.3329988270854</c:v>
                </c:pt>
                <c:pt idx="458">
                  <c:v>-90.7445878253017</c:v>
                </c:pt>
                <c:pt idx="459">
                  <c:v>-91.1564102753062</c:v>
                </c:pt>
                <c:pt idx="460">
                  <c:v>-91.5686473425362</c:v>
                </c:pt>
                <c:pt idx="461">
                  <c:v>-91.9814795784914</c:v>
                </c:pt>
                <c:pt idx="462">
                  <c:v>-92.3950868585164</c:v>
                </c:pt>
                <c:pt idx="463">
                  <c:v>-92.8096483161124</c:v>
                </c:pt>
                <c:pt idx="464">
                  <c:v>-93.2253422732621</c:v>
                </c:pt>
                <c:pt idx="465">
                  <c:v>-93.6423461662572</c:v>
                </c:pt>
                <c:pt idx="466">
                  <c:v>-94.0608364665187</c:v>
                </c:pt>
                <c:pt idx="467">
                  <c:v>-94.4809885958946</c:v>
                </c:pt>
                <c:pt idx="468">
                  <c:v>-94.9029768359345</c:v>
                </c:pt>
                <c:pt idx="469">
                  <c:v>-95.3269742306297</c:v>
                </c:pt>
                <c:pt idx="470">
                  <c:v>-95.7531524821245</c:v>
                </c:pt>
                <c:pt idx="471">
                  <c:v>-96.1816818389036</c:v>
                </c:pt>
                <c:pt idx="472">
                  <c:v>-96.6127309759689</c:v>
                </c:pt>
                <c:pt idx="473">
                  <c:v>-97.0464668665347</c:v>
                </c:pt>
                <c:pt idx="474">
                  <c:v>-97.4830546447756</c:v>
                </c:pt>
                <c:pt idx="475">
                  <c:v>-97.9226574591831</c:v>
                </c:pt>
                <c:pt idx="476">
                  <c:v>-98.3654363161032</c:v>
                </c:pt>
                <c:pt idx="477">
                  <c:v>-98.8115499130503</c:v>
                </c:pt>
                <c:pt idx="478">
                  <c:v>-99.2611544614172</c:v>
                </c:pt>
                <c:pt idx="479">
                  <c:v>-99.7144034982387</c:v>
                </c:pt>
                <c:pt idx="480">
                  <c:v>-100.171447686692</c:v>
                </c:pt>
                <c:pt idx="481">
                  <c:v>-100.63243460507</c:v>
                </c:pt>
                <c:pt idx="482">
                  <c:v>-101.097508523998</c:v>
                </c:pt>
                <c:pt idx="483">
                  <c:v>-101.566810171729</c:v>
                </c:pt>
                <c:pt idx="484">
                  <c:v>-102.040476487415</c:v>
                </c:pt>
                <c:pt idx="485">
                  <c:v>-102.518640362287</c:v>
                </c:pt>
                <c:pt idx="486">
                  <c:v>-103.001430368816</c:v>
                </c:pt>
                <c:pt idx="487">
                  <c:v>-103.488970477927</c:v>
                </c:pt>
                <c:pt idx="488">
                  <c:v>-103.981379764506</c:v>
                </c:pt>
                <c:pt idx="489">
                  <c:v>-104.478772101478</c:v>
                </c:pt>
                <c:pt idx="490">
                  <c:v>-104.981255842889</c:v>
                </c:pt>
                <c:pt idx="491">
                  <c:v>-105.488933496498</c:v>
                </c:pt>
                <c:pt idx="492">
                  <c:v>-106.001901386544</c:v>
                </c:pt>
                <c:pt idx="493">
                  <c:v>-106.520249307466</c:v>
                </c:pt>
                <c:pt idx="494">
                  <c:v>-107.0440601695</c:v>
                </c:pt>
                <c:pt idx="495">
                  <c:v>-107.573409637215</c:v>
                </c:pt>
                <c:pt idx="496">
                  <c:v>-108.108365762227</c:v>
                </c:pt>
                <c:pt idx="497">
                  <c:v>-108.648988611465</c:v>
                </c:pt>
                <c:pt idx="498">
                  <c:v>-109.195329892532</c:v>
                </c:pt>
                <c:pt idx="499">
                  <c:v>-109.747432577892</c:v>
                </c:pt>
                <c:pt idx="500">
                  <c:v>-110.305330529752</c:v>
                </c:pt>
                <c:pt idx="501">
                  <c:v>-110.869048127699</c:v>
                </c:pt>
                <c:pt idx="502">
                  <c:v>-111.438599901321</c:v>
                </c:pt>
                <c:pt idx="503">
                  <c:v>-112.013990170178</c:v>
                </c:pt>
                <c:pt idx="504">
                  <c:v>-112.59521269367</c:v>
                </c:pt>
                <c:pt idx="505">
                  <c:v>-113.182250333493</c:v>
                </c:pt>
                <c:pt idx="506">
                  <c:v>-113.775074731483</c:v>
                </c:pt>
                <c:pt idx="507">
                  <c:v>-114.373646005793</c:v>
                </c:pt>
                <c:pt idx="508">
                  <c:v>-114.977912468428</c:v>
                </c:pt>
                <c:pt idx="509">
                  <c:v>-115.587810367247</c:v>
                </c:pt>
                <c:pt idx="510">
                  <c:v>-116.20326365558</c:v>
                </c:pt>
                <c:pt idx="511">
                  <c:v>-116.824183792642</c:v>
                </c:pt>
                <c:pt idx="512">
                  <c:v>-117.450469577904</c:v>
                </c:pt>
                <c:pt idx="513">
                  <c:v>-118.082007022532</c:v>
                </c:pt>
                <c:pt idx="514">
                  <c:v>-118.718669260931</c:v>
                </c:pt>
                <c:pt idx="515">
                  <c:v>-119.360316505295</c:v>
                </c:pt>
                <c:pt idx="516">
                  <c:v>-120.006796045906</c:v>
                </c:pt>
                <c:pt idx="517">
                  <c:v>-120.657942299703</c:v>
                </c:pt>
                <c:pt idx="518">
                  <c:v>-121.313576909408</c:v>
                </c:pt>
                <c:pt idx="519">
                  <c:v>-121.973508895179</c:v>
                </c:pt>
                <c:pt idx="520">
                  <c:v>-122.637534860432</c:v>
                </c:pt>
                <c:pt idx="521">
                  <c:v>-123.305439253106</c:v>
                </c:pt>
                <c:pt idx="522">
                  <c:v>-123.976994683194</c:v>
                </c:pt>
                <c:pt idx="523">
                  <c:v>-124.651962296967</c:v>
                </c:pt>
                <c:pt idx="524">
                  <c:v>-125.330092207774</c:v>
                </c:pt>
                <c:pt idx="525">
                  <c:v>-126.011123982861</c:v>
                </c:pt>
                <c:pt idx="526">
                  <c:v>-126.694787185088</c:v>
                </c:pt>
                <c:pt idx="527">
                  <c:v>-127.380801967906</c:v>
                </c:pt>
                <c:pt idx="528">
                  <c:v>-128.068879721436</c:v>
                </c:pt>
                <c:pt idx="529">
                  <c:v>-128.758723766935</c:v>
                </c:pt>
                <c:pt idx="530">
                  <c:v>-129.450030096449</c:v>
                </c:pt>
                <c:pt idx="531">
                  <c:v>-130.142488153943</c:v>
                </c:pt>
                <c:pt idx="532">
                  <c:v>-130.835781653734</c:v>
                </c:pt>
                <c:pt idx="533">
                  <c:v>-131.52958943164</c:v>
                </c:pt>
                <c:pt idx="534">
                  <c:v>-132.223586323871</c:v>
                </c:pt>
                <c:pt idx="535">
                  <c:v>-132.917444068366</c:v>
                </c:pt>
                <c:pt idx="536">
                  <c:v>-133.610832223004</c:v>
                </c:pt>
                <c:pt idx="537">
                  <c:v>-134.303419094944</c:v>
                </c:pt>
                <c:pt idx="538">
                  <c:v>-134.994872675161</c:v>
                </c:pt>
                <c:pt idx="539">
                  <c:v>-135.684861572239</c:v>
                </c:pt>
                <c:pt idx="540">
                  <c:v>-136.373055939445</c:v>
                </c:pt>
                <c:pt idx="541">
                  <c:v>-137.059128389208</c:v>
                </c:pt>
              </c:numCache>
            </c:numRef>
          </c:yVal>
          <c:smooth val="1"/>
        </c:ser>
        <c:dLbls>
          <c:showLegendKey val="0"/>
          <c:showVal val="0"/>
          <c:showCatName val="0"/>
          <c:showSerName val="0"/>
          <c:showPercent val="0"/>
          <c:showBubbleSize val="0"/>
        </c:dLbls>
        <c:axId val="175150592"/>
        <c:axId val="175127936"/>
      </c:scatterChart>
      <c:valAx>
        <c:axId val="174189952"/>
        <c:scaling>
          <c:logBase val="10"/>
          <c:orientation val="minMax"/>
          <c:max val="20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p>
        </c:txPr>
        <c:crossAx val="175126016"/>
        <c:crosses val="autoZero"/>
        <c:crossBetween val="midCat"/>
      </c:valAx>
      <c:valAx>
        <c:axId val="175126016"/>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solidFill>
                      <a:srgbClr val="FF0000"/>
                    </a:solidFill>
                  </a:rPr>
                  <a:t>Gain</a:t>
                </a:r>
                <a:r>
                  <a:rPr lang="en-US" baseline="0">
                    <a:solidFill>
                      <a:srgbClr val="FF0000"/>
                    </a:solidFill>
                  </a:rPr>
                  <a:t> (dB)</a:t>
                </a:r>
                <a:endParaRPr lang="en-US">
                  <a:solidFill>
                    <a:srgbClr val="FF0000"/>
                  </a:solidFill>
                </a:endParaRPr>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1" i="0" u="none" strike="noStrike" kern="1200" baseline="0">
                <a:solidFill>
                  <a:srgbClr val="FF0000"/>
                </a:solidFill>
                <a:latin typeface="+mn-lt"/>
                <a:ea typeface="+mn-ea"/>
                <a:cs typeface="+mn-cs"/>
              </a:defRPr>
            </a:pPr>
          </a:p>
        </c:txPr>
        <c:crossAx val="174189952"/>
        <c:crosses val="autoZero"/>
        <c:crossBetween val="midCat"/>
        <c:majorUnit val="20"/>
        <c:minorUnit val="10"/>
      </c:valAx>
      <c:valAx>
        <c:axId val="175150592"/>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127936"/>
        <c:crosses val="autoZero"/>
        <c:crossBetween val="midCat"/>
      </c:valAx>
      <c:valAx>
        <c:axId val="175127936"/>
        <c:scaling>
          <c:orientation val="minMax"/>
          <c:max val="180"/>
          <c:min val="-180"/>
        </c:scaling>
        <c:delete val="0"/>
        <c:axPos val="r"/>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Phase (deg)</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1" i="0" u="none" strike="noStrike" kern="1200" baseline="0">
                <a:solidFill>
                  <a:schemeClr val="tx1">
                    <a:lumMod val="95000"/>
                    <a:lumOff val="5000"/>
                  </a:schemeClr>
                </a:solidFill>
                <a:latin typeface="+mn-lt"/>
                <a:ea typeface="+mn-ea"/>
                <a:cs typeface="+mn-cs"/>
              </a:defRPr>
            </a:pPr>
          </a:p>
        </c:txPr>
        <c:crossAx val="175150592"/>
        <c:crosses val="max"/>
        <c:crossBetween val="midCat"/>
        <c:majorUnit val="90"/>
        <c:minorUnit val="45"/>
      </c:valAx>
    </c:plotArea>
    <c:legend>
      <c:legendPos val="r"/>
      <c:legendEntry>
        <c:idx val="1"/>
        <c:delete val="1"/>
      </c:legendEntry>
      <c:legendEntry>
        <c:idx val="2"/>
        <c:delete val="1"/>
      </c:legendEntry>
      <c:legendEntry>
        <c:idx val="3"/>
        <c:delete val="1"/>
      </c:legendEntry>
      <c:legendEntry>
        <c:idx val="4"/>
        <c:delete val="1"/>
      </c:legendEntry>
      <c:legendEntry>
        <c:idx val="5"/>
        <c:delete val="1"/>
      </c:legendEntry>
      <c:layout>
        <c:manualLayout>
          <c:xMode val="edge"/>
          <c:yMode val="edge"/>
          <c:x val="0.613925365103712"/>
          <c:y val="0.00703810127999403"/>
          <c:w val="0.284975005846066"/>
          <c:h val="0.0796438656068465"/>
        </c:manualLayout>
      </c:layout>
      <c:overlay val="1"/>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4a1fb8a-f823-47d5-a6fb-4a0156a917a1}"/>
      </c:ext>
    </c:extLst>
  </c:chart>
  <c:spPr>
    <a:ln w="9525" cap="flat" cmpd="sng" algn="ctr">
      <a:noFill/>
      <a:prstDash val="solid"/>
      <a:round/>
    </a:ln>
  </c:spPr>
  <c:txPr>
    <a:bodyPr/>
    <a:lstStyle/>
    <a:p>
      <a:pPr>
        <a:defRPr lang="pl-PL"/>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lgn="l">
              <a:defRPr lang="pl-PL" sz="2400" b="1" i="0" u="none" strike="noStrike" kern="1200" baseline="0">
                <a:solidFill>
                  <a:schemeClr val="tx1"/>
                </a:solidFill>
                <a:latin typeface="+mn-lt"/>
                <a:ea typeface="+mn-ea"/>
                <a:cs typeface="+mn-cs"/>
              </a:defRPr>
            </a:pPr>
            <a:r>
              <a:rPr lang="el-GR" sz="2400"/>
              <a:t>η</a:t>
            </a:r>
            <a:endParaRPr lang="en-US" sz="2400"/>
          </a:p>
        </c:rich>
      </c:tx>
      <c:layout>
        <c:manualLayout>
          <c:xMode val="edge"/>
          <c:yMode val="edge"/>
          <c:x val="0.0923218382951588"/>
          <c:y val="0.00670690811535882"/>
        </c:manualLayout>
      </c:layout>
      <c:overlay val="1"/>
    </c:title>
    <c:autoTitleDeleted val="0"/>
    <c:plotArea>
      <c:layout>
        <c:manualLayout>
          <c:layoutTarget val="inner"/>
          <c:xMode val="edge"/>
          <c:yMode val="edge"/>
          <c:x val="0.0943435758165804"/>
          <c:y val="0.127775049245605"/>
          <c:w val="0.821706919227287"/>
          <c:h val="0.749827708676531"/>
        </c:manualLayout>
      </c:layout>
      <c:scatterChart>
        <c:scatterStyle val="smooth"/>
        <c:varyColors val="0"/>
        <c:ser>
          <c:idx val="0"/>
          <c:order val="0"/>
          <c:tx>
            <c:strRef>
              <c:f>"Eff"</c:f>
              <c:strCache>
                <c:ptCount val="1"/>
                <c:pt idx="0">
                  <c:v>Eff</c:v>
                </c:pt>
              </c:strCache>
            </c:strRef>
          </c:tx>
          <c:spPr>
            <a:ln w="28575" cap="rnd" cmpd="sng" algn="ctr">
              <a:solidFill>
                <a:srgbClr val="FF0000"/>
              </a:solidFill>
              <a:prstDash val="solid"/>
              <a:round/>
            </a:ln>
          </c:spPr>
          <c:marker>
            <c:symbol val="none"/>
          </c:marker>
          <c:dLbls>
            <c:delete val="1"/>
          </c:dLbls>
          <c:xVal>
            <c:numRef>
              <c:f>Eff_vs_IOUT!$S$7:$S$157</c:f>
              <c:numCache>
                <c:formatCode>General</c:formatCode>
                <c:ptCount val="151"/>
                <c:pt idx="0">
                  <c:v>0</c:v>
                </c:pt>
                <c:pt idx="1">
                  <c:v>0.02</c:v>
                </c:pt>
                <c:pt idx="2">
                  <c:v>0.04</c:v>
                </c:pt>
                <c:pt idx="3">
                  <c:v>0.06</c:v>
                </c:pt>
                <c:pt idx="4">
                  <c:v>0.08</c:v>
                </c:pt>
                <c:pt idx="5">
                  <c:v>0.1</c:v>
                </c:pt>
                <c:pt idx="6">
                  <c:v>0.12</c:v>
                </c:pt>
                <c:pt idx="7">
                  <c:v>0.14</c:v>
                </c:pt>
                <c:pt idx="8">
                  <c:v>0.16</c:v>
                </c:pt>
                <c:pt idx="9">
                  <c:v>0.18</c:v>
                </c:pt>
                <c:pt idx="10">
                  <c:v>0.2</c:v>
                </c:pt>
                <c:pt idx="11">
                  <c:v>0.22</c:v>
                </c:pt>
                <c:pt idx="12">
                  <c:v>0.24</c:v>
                </c:pt>
                <c:pt idx="13">
                  <c:v>0.26</c:v>
                </c:pt>
                <c:pt idx="14">
                  <c:v>0.28</c:v>
                </c:pt>
                <c:pt idx="15">
                  <c:v>0.3</c:v>
                </c:pt>
                <c:pt idx="16">
                  <c:v>0.32</c:v>
                </c:pt>
                <c:pt idx="17">
                  <c:v>0.34</c:v>
                </c:pt>
                <c:pt idx="18">
                  <c:v>0.36</c:v>
                </c:pt>
                <c:pt idx="19">
                  <c:v>0.38</c:v>
                </c:pt>
                <c:pt idx="20">
                  <c:v>0.4</c:v>
                </c:pt>
                <c:pt idx="21">
                  <c:v>0.42</c:v>
                </c:pt>
                <c:pt idx="22">
                  <c:v>0.44</c:v>
                </c:pt>
                <c:pt idx="23">
                  <c:v>0.46</c:v>
                </c:pt>
                <c:pt idx="24">
                  <c:v>0.48</c:v>
                </c:pt>
                <c:pt idx="25">
                  <c:v>0.5</c:v>
                </c:pt>
                <c:pt idx="26">
                  <c:v>0.52</c:v>
                </c:pt>
                <c:pt idx="27">
                  <c:v>0.54</c:v>
                </c:pt>
                <c:pt idx="28">
                  <c:v>0.56</c:v>
                </c:pt>
                <c:pt idx="29">
                  <c:v>0.58</c:v>
                </c:pt>
                <c:pt idx="30">
                  <c:v>0.6</c:v>
                </c:pt>
                <c:pt idx="31">
                  <c:v>0.62</c:v>
                </c:pt>
                <c:pt idx="32">
                  <c:v>0.64</c:v>
                </c:pt>
                <c:pt idx="33">
                  <c:v>0.66</c:v>
                </c:pt>
                <c:pt idx="34">
                  <c:v>0.68</c:v>
                </c:pt>
                <c:pt idx="35">
                  <c:v>0.7</c:v>
                </c:pt>
                <c:pt idx="36">
                  <c:v>0.72</c:v>
                </c:pt>
                <c:pt idx="37">
                  <c:v>0.74</c:v>
                </c:pt>
                <c:pt idx="38">
                  <c:v>0.76</c:v>
                </c:pt>
                <c:pt idx="39">
                  <c:v>0.78</c:v>
                </c:pt>
                <c:pt idx="40">
                  <c:v>0.8</c:v>
                </c:pt>
                <c:pt idx="41">
                  <c:v>0.82</c:v>
                </c:pt>
                <c:pt idx="42">
                  <c:v>0.84</c:v>
                </c:pt>
                <c:pt idx="43">
                  <c:v>0.86</c:v>
                </c:pt>
                <c:pt idx="44">
                  <c:v>0.88</c:v>
                </c:pt>
                <c:pt idx="45">
                  <c:v>0.9</c:v>
                </c:pt>
                <c:pt idx="46">
                  <c:v>0.92</c:v>
                </c:pt>
                <c:pt idx="47">
                  <c:v>0.94</c:v>
                </c:pt>
                <c:pt idx="48">
                  <c:v>0.96</c:v>
                </c:pt>
                <c:pt idx="49">
                  <c:v>0.98</c:v>
                </c:pt>
                <c:pt idx="50">
                  <c:v>1</c:v>
                </c:pt>
                <c:pt idx="51">
                  <c:v>1.02</c:v>
                </c:pt>
                <c:pt idx="52">
                  <c:v>1.04</c:v>
                </c:pt>
                <c:pt idx="53">
                  <c:v>1.06</c:v>
                </c:pt>
                <c:pt idx="54">
                  <c:v>1.08</c:v>
                </c:pt>
                <c:pt idx="55">
                  <c:v>1.1</c:v>
                </c:pt>
                <c:pt idx="56">
                  <c:v>1.12</c:v>
                </c:pt>
                <c:pt idx="57">
                  <c:v>1.14</c:v>
                </c:pt>
                <c:pt idx="58">
                  <c:v>1.16</c:v>
                </c:pt>
                <c:pt idx="59">
                  <c:v>1.18</c:v>
                </c:pt>
                <c:pt idx="60">
                  <c:v>1.2</c:v>
                </c:pt>
                <c:pt idx="61">
                  <c:v>1.22</c:v>
                </c:pt>
                <c:pt idx="62">
                  <c:v>1.24</c:v>
                </c:pt>
                <c:pt idx="63">
                  <c:v>1.26</c:v>
                </c:pt>
                <c:pt idx="64">
                  <c:v>1.28</c:v>
                </c:pt>
                <c:pt idx="65">
                  <c:v>1.3</c:v>
                </c:pt>
                <c:pt idx="66">
                  <c:v>1.32</c:v>
                </c:pt>
                <c:pt idx="67">
                  <c:v>1.34</c:v>
                </c:pt>
                <c:pt idx="68">
                  <c:v>1.36</c:v>
                </c:pt>
                <c:pt idx="69">
                  <c:v>1.38</c:v>
                </c:pt>
                <c:pt idx="70">
                  <c:v>1.4</c:v>
                </c:pt>
                <c:pt idx="71">
                  <c:v>1.42</c:v>
                </c:pt>
                <c:pt idx="72">
                  <c:v>1.44</c:v>
                </c:pt>
                <c:pt idx="73">
                  <c:v>1.46</c:v>
                </c:pt>
                <c:pt idx="74">
                  <c:v>1.48</c:v>
                </c:pt>
                <c:pt idx="75">
                  <c:v>1.5</c:v>
                </c:pt>
                <c:pt idx="76">
                  <c:v>1.52</c:v>
                </c:pt>
                <c:pt idx="77">
                  <c:v>1.54</c:v>
                </c:pt>
                <c:pt idx="78">
                  <c:v>1.56</c:v>
                </c:pt>
                <c:pt idx="79">
                  <c:v>1.58</c:v>
                </c:pt>
                <c:pt idx="80">
                  <c:v>1.6</c:v>
                </c:pt>
                <c:pt idx="81">
                  <c:v>1.62</c:v>
                </c:pt>
                <c:pt idx="82">
                  <c:v>1.64</c:v>
                </c:pt>
                <c:pt idx="83">
                  <c:v>1.66</c:v>
                </c:pt>
                <c:pt idx="84">
                  <c:v>1.68</c:v>
                </c:pt>
                <c:pt idx="85">
                  <c:v>1.7</c:v>
                </c:pt>
                <c:pt idx="86">
                  <c:v>1.72</c:v>
                </c:pt>
                <c:pt idx="87">
                  <c:v>1.74</c:v>
                </c:pt>
                <c:pt idx="88">
                  <c:v>1.76</c:v>
                </c:pt>
                <c:pt idx="89">
                  <c:v>1.78</c:v>
                </c:pt>
                <c:pt idx="90">
                  <c:v>1.8</c:v>
                </c:pt>
                <c:pt idx="91">
                  <c:v>1.82</c:v>
                </c:pt>
                <c:pt idx="92">
                  <c:v>1.84</c:v>
                </c:pt>
                <c:pt idx="93">
                  <c:v>1.86</c:v>
                </c:pt>
                <c:pt idx="94">
                  <c:v>1.88</c:v>
                </c:pt>
                <c:pt idx="95">
                  <c:v>1.9</c:v>
                </c:pt>
                <c:pt idx="96">
                  <c:v>1.92</c:v>
                </c:pt>
                <c:pt idx="97">
                  <c:v>1.94</c:v>
                </c:pt>
                <c:pt idx="98">
                  <c:v>1.96</c:v>
                </c:pt>
                <c:pt idx="99">
                  <c:v>1.98</c:v>
                </c:pt>
                <c:pt idx="100">
                  <c:v>2</c:v>
                </c:pt>
                <c:pt idx="101">
                  <c:v>2.02</c:v>
                </c:pt>
                <c:pt idx="102">
                  <c:v>2.04</c:v>
                </c:pt>
                <c:pt idx="103">
                  <c:v>2.06</c:v>
                </c:pt>
                <c:pt idx="104">
                  <c:v>2.08</c:v>
                </c:pt>
                <c:pt idx="105">
                  <c:v>2.1</c:v>
                </c:pt>
                <c:pt idx="106">
                  <c:v>2.12</c:v>
                </c:pt>
                <c:pt idx="107">
                  <c:v>2.14</c:v>
                </c:pt>
                <c:pt idx="108">
                  <c:v>2.16</c:v>
                </c:pt>
                <c:pt idx="109">
                  <c:v>2.18</c:v>
                </c:pt>
                <c:pt idx="110">
                  <c:v>2.2</c:v>
                </c:pt>
                <c:pt idx="111">
                  <c:v>2.22</c:v>
                </c:pt>
                <c:pt idx="112">
                  <c:v>2.24</c:v>
                </c:pt>
                <c:pt idx="113">
                  <c:v>2.26</c:v>
                </c:pt>
                <c:pt idx="114">
                  <c:v>2.28</c:v>
                </c:pt>
                <c:pt idx="115">
                  <c:v>2.3</c:v>
                </c:pt>
                <c:pt idx="116">
                  <c:v>2.32</c:v>
                </c:pt>
                <c:pt idx="117">
                  <c:v>2.34</c:v>
                </c:pt>
                <c:pt idx="118">
                  <c:v>2.36</c:v>
                </c:pt>
                <c:pt idx="119">
                  <c:v>2.38</c:v>
                </c:pt>
                <c:pt idx="120">
                  <c:v>2.4</c:v>
                </c:pt>
                <c:pt idx="121">
                  <c:v>2.42</c:v>
                </c:pt>
                <c:pt idx="122">
                  <c:v>2.44</c:v>
                </c:pt>
                <c:pt idx="123">
                  <c:v>2.46</c:v>
                </c:pt>
                <c:pt idx="124">
                  <c:v>2.48</c:v>
                </c:pt>
                <c:pt idx="125">
                  <c:v>2.5</c:v>
                </c:pt>
                <c:pt idx="126">
                  <c:v>2.52</c:v>
                </c:pt>
                <c:pt idx="127">
                  <c:v>2.54</c:v>
                </c:pt>
                <c:pt idx="128">
                  <c:v>2.56</c:v>
                </c:pt>
                <c:pt idx="129">
                  <c:v>2.58</c:v>
                </c:pt>
                <c:pt idx="130">
                  <c:v>2.6</c:v>
                </c:pt>
                <c:pt idx="131">
                  <c:v>2.62</c:v>
                </c:pt>
                <c:pt idx="132">
                  <c:v>2.64</c:v>
                </c:pt>
                <c:pt idx="133">
                  <c:v>2.66</c:v>
                </c:pt>
                <c:pt idx="134">
                  <c:v>2.68</c:v>
                </c:pt>
                <c:pt idx="135">
                  <c:v>2.7</c:v>
                </c:pt>
                <c:pt idx="136">
                  <c:v>2.72</c:v>
                </c:pt>
                <c:pt idx="137">
                  <c:v>2.74</c:v>
                </c:pt>
                <c:pt idx="138">
                  <c:v>2.76</c:v>
                </c:pt>
                <c:pt idx="139">
                  <c:v>2.78</c:v>
                </c:pt>
                <c:pt idx="140">
                  <c:v>2.8</c:v>
                </c:pt>
                <c:pt idx="141">
                  <c:v>2.82</c:v>
                </c:pt>
                <c:pt idx="142">
                  <c:v>2.84</c:v>
                </c:pt>
                <c:pt idx="143">
                  <c:v>2.86</c:v>
                </c:pt>
                <c:pt idx="144">
                  <c:v>2.88</c:v>
                </c:pt>
                <c:pt idx="145">
                  <c:v>2.9</c:v>
                </c:pt>
                <c:pt idx="146">
                  <c:v>2.92</c:v>
                </c:pt>
                <c:pt idx="147">
                  <c:v>2.94</c:v>
                </c:pt>
                <c:pt idx="148">
                  <c:v>2.96</c:v>
                </c:pt>
                <c:pt idx="149">
                  <c:v>2.98</c:v>
                </c:pt>
                <c:pt idx="150">
                  <c:v>3</c:v>
                </c:pt>
              </c:numCache>
            </c:numRef>
          </c:xVal>
          <c:yVal>
            <c:numRef>
              <c:f>Eff_vs_IOUT!$AT$7:$AT$157</c:f>
              <c:numCache>
                <c:formatCode>General</c:formatCode>
                <c:ptCount val="151"/>
                <c:pt idx="0">
                  <c:v>0</c:v>
                </c:pt>
                <c:pt idx="1">
                  <c:v>78.0486469636518</c:v>
                </c:pt>
                <c:pt idx="2">
                  <c:v>85.5298920032623</c:v>
                </c:pt>
                <c:pt idx="3">
                  <c:v>88.3003204952773</c:v>
                </c:pt>
                <c:pt idx="4">
                  <c:v>89.7353210406825</c:v>
                </c:pt>
                <c:pt idx="5">
                  <c:v>90.6037404377404</c:v>
                </c:pt>
                <c:pt idx="6">
                  <c:v>91.179266630741</c:v>
                </c:pt>
                <c:pt idx="7">
                  <c:v>91.5837687405149</c:v>
                </c:pt>
                <c:pt idx="8">
                  <c:v>91.8797465080312</c:v>
                </c:pt>
                <c:pt idx="9">
                  <c:v>92.1025580417021</c:v>
                </c:pt>
                <c:pt idx="10">
                  <c:v>92.2737103228357</c:v>
                </c:pt>
                <c:pt idx="11">
                  <c:v>92.4070367266518</c:v>
                </c:pt>
                <c:pt idx="12">
                  <c:v>92.5118391328143</c:v>
                </c:pt>
                <c:pt idx="13">
                  <c:v>92.5946029834501</c:v>
                </c:pt>
                <c:pt idx="14">
                  <c:v>92.659988225142</c:v>
                </c:pt>
                <c:pt idx="15">
                  <c:v>92.7114293701846</c:v>
                </c:pt>
                <c:pt idx="16">
                  <c:v>92.7515134625106</c:v>
                </c:pt>
                <c:pt idx="17">
                  <c:v>92.7822262786211</c:v>
                </c:pt>
                <c:pt idx="18">
                  <c:v>92.8051174120026</c:v>
                </c:pt>
                <c:pt idx="19">
                  <c:v>92.8214137979627</c:v>
                </c:pt>
                <c:pt idx="20">
                  <c:v>92.8320995364211</c:v>
                </c:pt>
                <c:pt idx="21">
                  <c:v>92.8379731349652</c:v>
                </c:pt>
                <c:pt idx="22">
                  <c:v>92.8396892884093</c:v>
                </c:pt>
                <c:pt idx="23">
                  <c:v>92.8377898583748</c:v>
                </c:pt>
                <c:pt idx="24">
                  <c:v>92.8327271754436</c:v>
                </c:pt>
                <c:pt idx="25">
                  <c:v>92.8248817955809</c:v>
                </c:pt>
                <c:pt idx="26">
                  <c:v>92.8145761918948</c:v>
                </c:pt>
                <c:pt idx="27">
                  <c:v>92.8020854273647</c:v>
                </c:pt>
                <c:pt idx="28">
                  <c:v>92.7876455576559</c:v>
                </c:pt>
                <c:pt idx="29">
                  <c:v>92.7714603079724</c:v>
                </c:pt>
                <c:pt idx="30">
                  <c:v>92.7537064238619</c:v>
                </c:pt>
                <c:pt idx="31">
                  <c:v>92.7345379933797</c:v>
                </c:pt>
                <c:pt idx="32">
                  <c:v>92.7140899641533</c:v>
                </c:pt>
                <c:pt idx="33">
                  <c:v>92.6924810250413</c:v>
                </c:pt>
                <c:pt idx="34">
                  <c:v>92.6698159823996</c:v>
                </c:pt>
                <c:pt idx="35">
                  <c:v>92.6461877314277</c:v>
                </c:pt>
                <c:pt idx="36">
                  <c:v>92.6216789008709</c:v>
                </c:pt>
                <c:pt idx="37">
                  <c:v>92.5963632325255</c:v>
                </c:pt>
                <c:pt idx="38">
                  <c:v>92.5703067441301</c:v>
                </c:pt>
                <c:pt idx="39">
                  <c:v>92.5435687143122</c:v>
                </c:pt>
                <c:pt idx="40">
                  <c:v>92.5162025205687</c:v>
                </c:pt>
                <c:pt idx="41">
                  <c:v>92.4882563552412</c:v>
                </c:pt>
                <c:pt idx="42">
                  <c:v>92.4597738397217</c:v>
                </c:pt>
                <c:pt idx="43">
                  <c:v>92.4307945533727</c:v>
                </c:pt>
                <c:pt idx="44">
                  <c:v>92.4013544906655</c:v>
                </c:pt>
                <c:pt idx="45">
                  <c:v>92.371486457652</c:v>
                </c:pt>
                <c:pt idx="46">
                  <c:v>92.3412204169583</c:v>
                </c:pt>
                <c:pt idx="47">
                  <c:v>92.3105837889328</c:v>
                </c:pt>
                <c:pt idx="48">
                  <c:v>92.2796017153167</c:v>
                </c:pt>
                <c:pt idx="49">
                  <c:v>92.2482972907654</c:v>
                </c:pt>
                <c:pt idx="50">
                  <c:v>92.2166917667046</c:v>
                </c:pt>
                <c:pt idx="51">
                  <c:v>92.1848047313022</c:v>
                </c:pt>
                <c:pt idx="52">
                  <c:v>92.1526542687578</c:v>
                </c:pt>
                <c:pt idx="53">
                  <c:v>92.120257100631</c:v>
                </c:pt>
                <c:pt idx="54">
                  <c:v>92.0876287115278</c:v>
                </c:pt>
                <c:pt idx="55">
                  <c:v>92.0547834611274</c:v>
                </c:pt>
                <c:pt idx="56">
                  <c:v>92.0217346842525</c:v>
                </c:pt>
                <c:pt idx="57">
                  <c:v>91.9884947804431</c:v>
                </c:pt>
                <c:pt idx="58">
                  <c:v>91.9550752942989</c:v>
                </c:pt>
                <c:pt idx="59">
                  <c:v>91.9214869876797</c:v>
                </c:pt>
                <c:pt idx="60">
                  <c:v>91.8877399047111</c:v>
                </c:pt>
                <c:pt idx="61">
                  <c:v>91.8538434304186</c:v>
                </c:pt>
                <c:pt idx="62">
                  <c:v>91.819806343706</c:v>
                </c:pt>
                <c:pt idx="63">
                  <c:v>91.7856368653057</c:v>
                </c:pt>
                <c:pt idx="64">
                  <c:v>91.7513427012482</c:v>
                </c:pt>
                <c:pt idx="65">
                  <c:v>91.7169310823315</c:v>
                </c:pt>
                <c:pt idx="66">
                  <c:v>91.6824088000147</c:v>
                </c:pt>
                <c:pt idx="67">
                  <c:v>91.6477822391067</c:v>
                </c:pt>
                <c:pt idx="68">
                  <c:v>91.6130574075794</c:v>
                </c:pt>
                <c:pt idx="69">
                  <c:v>91.578239963797</c:v>
                </c:pt>
                <c:pt idx="70">
                  <c:v>91.5433352414175</c:v>
                </c:pt>
                <c:pt idx="71">
                  <c:v>91.5083482721971</c:v>
                </c:pt>
                <c:pt idx="72">
                  <c:v>91.4732838068984</c:v>
                </c:pt>
                <c:pt idx="73">
                  <c:v>91.4381463344866</c:v>
                </c:pt>
                <c:pt idx="74">
                  <c:v>91.4029400997726</c:v>
                </c:pt>
                <c:pt idx="75">
                  <c:v>91.3676691196485</c:v>
                </c:pt>
                <c:pt idx="76">
                  <c:v>91.3323371980461</c:v>
                </c:pt>
                <c:pt idx="77">
                  <c:v>91.2969479397315</c:v>
                </c:pt>
                <c:pt idx="78">
                  <c:v>91.2615047630423</c:v>
                </c:pt>
                <c:pt idx="79">
                  <c:v>91.2260109116598</c:v>
                </c:pt>
                <c:pt idx="80">
                  <c:v>91.1904694655008</c:v>
                </c:pt>
                <c:pt idx="81">
                  <c:v>91.1548833508039</c:v>
                </c:pt>
                <c:pt idx="82">
                  <c:v>91.1192553494806</c:v>
                </c:pt>
                <c:pt idx="83">
                  <c:v>91.0835881077918</c:v>
                </c:pt>
                <c:pt idx="84">
                  <c:v>91.0478841444057</c:v>
                </c:pt>
                <c:pt idx="85">
                  <c:v>91.012145857889</c:v>
                </c:pt>
                <c:pt idx="86">
                  <c:v>90.976375533676</c:v>
                </c:pt>
                <c:pt idx="87">
                  <c:v>90.9405753505588</c:v>
                </c:pt>
                <c:pt idx="88">
                  <c:v>90.9047473867359</c:v>
                </c:pt>
                <c:pt idx="89">
                  <c:v>90.8688936254537</c:v>
                </c:pt>
                <c:pt idx="90">
                  <c:v>90.8330159602729</c:v>
                </c:pt>
                <c:pt idx="91">
                  <c:v>90.7971161999888</c:v>
                </c:pt>
                <c:pt idx="92">
                  <c:v>90.7611960732311</c:v>
                </c:pt>
                <c:pt idx="93">
                  <c:v>90.7252572327676</c:v>
                </c:pt>
                <c:pt idx="94">
                  <c:v>90.6893012595337</c:v>
                </c:pt>
                <c:pt idx="95">
                  <c:v>90.6533296664084</c:v>
                </c:pt>
                <c:pt idx="96">
                  <c:v>90.6173439017546</c:v>
                </c:pt>
                <c:pt idx="97">
                  <c:v>90.5813453527405</c:v>
                </c:pt>
                <c:pt idx="98">
                  <c:v>90.5453353484585</c:v>
                </c:pt>
                <c:pt idx="99">
                  <c:v>90.5093151628555</c:v>
                </c:pt>
                <c:pt idx="100">
                  <c:v>90.4732860174875</c:v>
                </c:pt>
                <c:pt idx="101">
                  <c:v>90.4372490841111</c:v>
                </c:pt>
                <c:pt idx="102">
                  <c:v>90.4012054871226</c:v>
                </c:pt>
                <c:pt idx="103">
                  <c:v>90.3651563058556</c:v>
                </c:pt>
                <c:pt idx="104">
                  <c:v>90.3291025767461</c:v>
                </c:pt>
                <c:pt idx="105">
                  <c:v>90.2930452953741</c:v>
                </c:pt>
                <c:pt idx="106">
                  <c:v>90.2569854183903</c:v>
                </c:pt>
                <c:pt idx="107">
                  <c:v>90.2209238653342</c:v>
                </c:pt>
                <c:pt idx="108">
                  <c:v>90.1848615203522</c:v>
                </c:pt>
                <c:pt idx="109">
                  <c:v>90.1487992338204</c:v>
                </c:pt>
                <c:pt idx="110">
                  <c:v>90.1127378238801</c:v>
                </c:pt>
                <c:pt idx="111">
                  <c:v>90.0766780778894</c:v>
                </c:pt>
                <c:pt idx="112">
                  <c:v>90.0406207537982</c:v>
                </c:pt>
                <c:pt idx="113">
                  <c:v>90.0045665814492</c:v>
                </c:pt>
                <c:pt idx="114">
                  <c:v>89.9685162638116</c:v>
                </c:pt>
                <c:pt idx="115">
                  <c:v>89.9324704781499</c:v>
                </c:pt>
                <c:pt idx="116">
                  <c:v>89.8964298771326</c:v>
                </c:pt>
                <c:pt idx="117">
                  <c:v>89.8603950898839</c:v>
                </c:pt>
                <c:pt idx="118">
                  <c:v>89.8243667229825</c:v>
                </c:pt>
                <c:pt idx="119">
                  <c:v>89.7883453614095</c:v>
                </c:pt>
                <c:pt idx="120">
                  <c:v>89.7523315694494</c:v>
                </c:pt>
                <c:pt idx="121">
                  <c:v>89.7163258915464</c:v>
                </c:pt>
                <c:pt idx="122">
                  <c:v>89.6803288531186</c:v>
                </c:pt>
                <c:pt idx="123">
                  <c:v>89.6443409613327</c:v>
                </c:pt>
                <c:pt idx="124">
                  <c:v>89.6083627058409</c:v>
                </c:pt>
                <c:pt idx="125">
                  <c:v>89.5723945594829</c:v>
                </c:pt>
                <c:pt idx="126">
                  <c:v>89.5364369789546</c:v>
                </c:pt>
                <c:pt idx="127">
                  <c:v>89.5004904054444</c:v>
                </c:pt>
                <c:pt idx="128">
                  <c:v>89.4645552652408</c:v>
                </c:pt>
                <c:pt idx="129">
                  <c:v>89.4286319703114</c:v>
                </c:pt>
                <c:pt idx="130">
                  <c:v>89.3927209188545</c:v>
                </c:pt>
                <c:pt idx="131">
                  <c:v>89.3568224958269</c:v>
                </c:pt>
                <c:pt idx="132">
                  <c:v>89.3209370734461</c:v>
                </c:pt>
                <c:pt idx="133">
                  <c:v>89.2850650116716</c:v>
                </c:pt>
                <c:pt idx="134">
                  <c:v>89.2492066586629</c:v>
                </c:pt>
                <c:pt idx="135">
                  <c:v>89.2133623512188</c:v>
                </c:pt>
                <c:pt idx="136">
                  <c:v>89.1775324151961</c:v>
                </c:pt>
                <c:pt idx="137">
                  <c:v>89.1417171659106</c:v>
                </c:pt>
                <c:pt idx="138">
                  <c:v>89.1059169085209</c:v>
                </c:pt>
                <c:pt idx="139">
                  <c:v>89.0701319383947</c:v>
                </c:pt>
                <c:pt idx="140">
                  <c:v>89.0343625414606</c:v>
                </c:pt>
                <c:pt idx="141">
                  <c:v>88.9986089945443</c:v>
                </c:pt>
                <c:pt idx="142">
                  <c:v>88.9628715656904</c:v>
                </c:pt>
                <c:pt idx="143">
                  <c:v>88.9271505144713</c:v>
                </c:pt>
                <c:pt idx="144">
                  <c:v>88.8914460922828</c:v>
                </c:pt>
                <c:pt idx="145">
                  <c:v>88.8557585426278</c:v>
                </c:pt>
                <c:pt idx="146">
                  <c:v>88.820088101388</c:v>
                </c:pt>
                <c:pt idx="147">
                  <c:v>88.7844349970848</c:v>
                </c:pt>
                <c:pt idx="148">
                  <c:v>88.7487994511298</c:v>
                </c:pt>
                <c:pt idx="149">
                  <c:v>88.7131816780643</c:v>
                </c:pt>
                <c:pt idx="150">
                  <c:v>88.6775818857908</c:v>
                </c:pt>
              </c:numCache>
            </c:numRef>
          </c:yVal>
          <c:smooth val="0"/>
        </c:ser>
        <c:dLbls>
          <c:showLegendKey val="0"/>
          <c:showVal val="0"/>
          <c:showCatName val="0"/>
          <c:showSerName val="0"/>
          <c:showPercent val="0"/>
          <c:showBubbleSize val="0"/>
        </c:dLbls>
        <c:axId val="174861312"/>
        <c:axId val="174875392"/>
      </c:scatterChart>
      <c:scatterChart>
        <c:scatterStyle val="smooth"/>
        <c:varyColors val="0"/>
        <c:ser>
          <c:idx val="1"/>
          <c:order val="1"/>
          <c:tx>
            <c:strRef>
              <c:f>"MOSFET"</c:f>
              <c:strCache>
                <c:ptCount val="1"/>
                <c:pt idx="0">
                  <c:v>MOSFET</c:v>
                </c:pt>
              </c:strCache>
            </c:strRef>
          </c:tx>
          <c:spPr>
            <a:ln w="28575" cap="rnd" cmpd="sng" algn="ctr">
              <a:solidFill>
                <a:schemeClr val="tx2">
                  <a:lumMod val="75000"/>
                </a:schemeClr>
              </a:solidFill>
              <a:prstDash val="dashDot"/>
              <a:round/>
            </a:ln>
          </c:spPr>
          <c:marker>
            <c:symbol val="none"/>
          </c:marker>
          <c:dLbls>
            <c:delete val="1"/>
          </c:dLbls>
          <c:xVal>
            <c:numRef>
              <c:f>Eff_vs_IOUT!$S$7:$S$157</c:f>
              <c:numCache>
                <c:formatCode>General</c:formatCode>
                <c:ptCount val="151"/>
                <c:pt idx="0">
                  <c:v>0</c:v>
                </c:pt>
                <c:pt idx="1">
                  <c:v>0.02</c:v>
                </c:pt>
                <c:pt idx="2">
                  <c:v>0.04</c:v>
                </c:pt>
                <c:pt idx="3">
                  <c:v>0.06</c:v>
                </c:pt>
                <c:pt idx="4">
                  <c:v>0.08</c:v>
                </c:pt>
                <c:pt idx="5">
                  <c:v>0.1</c:v>
                </c:pt>
                <c:pt idx="6">
                  <c:v>0.12</c:v>
                </c:pt>
                <c:pt idx="7">
                  <c:v>0.14</c:v>
                </c:pt>
                <c:pt idx="8">
                  <c:v>0.16</c:v>
                </c:pt>
                <c:pt idx="9">
                  <c:v>0.18</c:v>
                </c:pt>
                <c:pt idx="10">
                  <c:v>0.2</c:v>
                </c:pt>
                <c:pt idx="11">
                  <c:v>0.22</c:v>
                </c:pt>
                <c:pt idx="12">
                  <c:v>0.24</c:v>
                </c:pt>
                <c:pt idx="13">
                  <c:v>0.26</c:v>
                </c:pt>
                <c:pt idx="14">
                  <c:v>0.28</c:v>
                </c:pt>
                <c:pt idx="15">
                  <c:v>0.3</c:v>
                </c:pt>
                <c:pt idx="16">
                  <c:v>0.32</c:v>
                </c:pt>
                <c:pt idx="17">
                  <c:v>0.34</c:v>
                </c:pt>
                <c:pt idx="18">
                  <c:v>0.36</c:v>
                </c:pt>
                <c:pt idx="19">
                  <c:v>0.38</c:v>
                </c:pt>
                <c:pt idx="20">
                  <c:v>0.4</c:v>
                </c:pt>
                <c:pt idx="21">
                  <c:v>0.42</c:v>
                </c:pt>
                <c:pt idx="22">
                  <c:v>0.44</c:v>
                </c:pt>
                <c:pt idx="23">
                  <c:v>0.46</c:v>
                </c:pt>
                <c:pt idx="24">
                  <c:v>0.48</c:v>
                </c:pt>
                <c:pt idx="25">
                  <c:v>0.5</c:v>
                </c:pt>
                <c:pt idx="26">
                  <c:v>0.52</c:v>
                </c:pt>
                <c:pt idx="27">
                  <c:v>0.54</c:v>
                </c:pt>
                <c:pt idx="28">
                  <c:v>0.56</c:v>
                </c:pt>
                <c:pt idx="29">
                  <c:v>0.58</c:v>
                </c:pt>
                <c:pt idx="30">
                  <c:v>0.6</c:v>
                </c:pt>
                <c:pt idx="31">
                  <c:v>0.62</c:v>
                </c:pt>
                <c:pt idx="32">
                  <c:v>0.64</c:v>
                </c:pt>
                <c:pt idx="33">
                  <c:v>0.66</c:v>
                </c:pt>
                <c:pt idx="34">
                  <c:v>0.68</c:v>
                </c:pt>
                <c:pt idx="35">
                  <c:v>0.7</c:v>
                </c:pt>
                <c:pt idx="36">
                  <c:v>0.72</c:v>
                </c:pt>
                <c:pt idx="37">
                  <c:v>0.74</c:v>
                </c:pt>
                <c:pt idx="38">
                  <c:v>0.76</c:v>
                </c:pt>
                <c:pt idx="39">
                  <c:v>0.78</c:v>
                </c:pt>
                <c:pt idx="40">
                  <c:v>0.8</c:v>
                </c:pt>
                <c:pt idx="41">
                  <c:v>0.82</c:v>
                </c:pt>
                <c:pt idx="42">
                  <c:v>0.84</c:v>
                </c:pt>
                <c:pt idx="43">
                  <c:v>0.86</c:v>
                </c:pt>
                <c:pt idx="44">
                  <c:v>0.88</c:v>
                </c:pt>
                <c:pt idx="45">
                  <c:v>0.9</c:v>
                </c:pt>
                <c:pt idx="46">
                  <c:v>0.92</c:v>
                </c:pt>
                <c:pt idx="47">
                  <c:v>0.94</c:v>
                </c:pt>
                <c:pt idx="48">
                  <c:v>0.96</c:v>
                </c:pt>
                <c:pt idx="49">
                  <c:v>0.98</c:v>
                </c:pt>
                <c:pt idx="50">
                  <c:v>1</c:v>
                </c:pt>
                <c:pt idx="51">
                  <c:v>1.02</c:v>
                </c:pt>
                <c:pt idx="52">
                  <c:v>1.04</c:v>
                </c:pt>
                <c:pt idx="53">
                  <c:v>1.06</c:v>
                </c:pt>
                <c:pt idx="54">
                  <c:v>1.08</c:v>
                </c:pt>
                <c:pt idx="55">
                  <c:v>1.1</c:v>
                </c:pt>
                <c:pt idx="56">
                  <c:v>1.12</c:v>
                </c:pt>
                <c:pt idx="57">
                  <c:v>1.14</c:v>
                </c:pt>
                <c:pt idx="58">
                  <c:v>1.16</c:v>
                </c:pt>
                <c:pt idx="59">
                  <c:v>1.18</c:v>
                </c:pt>
                <c:pt idx="60">
                  <c:v>1.2</c:v>
                </c:pt>
                <c:pt idx="61">
                  <c:v>1.22</c:v>
                </c:pt>
                <c:pt idx="62">
                  <c:v>1.24</c:v>
                </c:pt>
                <c:pt idx="63">
                  <c:v>1.26</c:v>
                </c:pt>
                <c:pt idx="64">
                  <c:v>1.28</c:v>
                </c:pt>
                <c:pt idx="65">
                  <c:v>1.3</c:v>
                </c:pt>
                <c:pt idx="66">
                  <c:v>1.32</c:v>
                </c:pt>
                <c:pt idx="67">
                  <c:v>1.34</c:v>
                </c:pt>
                <c:pt idx="68">
                  <c:v>1.36</c:v>
                </c:pt>
                <c:pt idx="69">
                  <c:v>1.38</c:v>
                </c:pt>
                <c:pt idx="70">
                  <c:v>1.4</c:v>
                </c:pt>
                <c:pt idx="71">
                  <c:v>1.42</c:v>
                </c:pt>
                <c:pt idx="72">
                  <c:v>1.44</c:v>
                </c:pt>
                <c:pt idx="73">
                  <c:v>1.46</c:v>
                </c:pt>
                <c:pt idx="74">
                  <c:v>1.48</c:v>
                </c:pt>
                <c:pt idx="75">
                  <c:v>1.5</c:v>
                </c:pt>
                <c:pt idx="76">
                  <c:v>1.52</c:v>
                </c:pt>
                <c:pt idx="77">
                  <c:v>1.54</c:v>
                </c:pt>
                <c:pt idx="78">
                  <c:v>1.56</c:v>
                </c:pt>
                <c:pt idx="79">
                  <c:v>1.58</c:v>
                </c:pt>
                <c:pt idx="80">
                  <c:v>1.6</c:v>
                </c:pt>
                <c:pt idx="81">
                  <c:v>1.62</c:v>
                </c:pt>
                <c:pt idx="82">
                  <c:v>1.64</c:v>
                </c:pt>
                <c:pt idx="83">
                  <c:v>1.66</c:v>
                </c:pt>
                <c:pt idx="84">
                  <c:v>1.68</c:v>
                </c:pt>
                <c:pt idx="85">
                  <c:v>1.7</c:v>
                </c:pt>
                <c:pt idx="86">
                  <c:v>1.72</c:v>
                </c:pt>
                <c:pt idx="87">
                  <c:v>1.74</c:v>
                </c:pt>
                <c:pt idx="88">
                  <c:v>1.76</c:v>
                </c:pt>
                <c:pt idx="89">
                  <c:v>1.78</c:v>
                </c:pt>
                <c:pt idx="90">
                  <c:v>1.8</c:v>
                </c:pt>
                <c:pt idx="91">
                  <c:v>1.82</c:v>
                </c:pt>
                <c:pt idx="92">
                  <c:v>1.84</c:v>
                </c:pt>
                <c:pt idx="93">
                  <c:v>1.86</c:v>
                </c:pt>
                <c:pt idx="94">
                  <c:v>1.88</c:v>
                </c:pt>
                <c:pt idx="95">
                  <c:v>1.9</c:v>
                </c:pt>
                <c:pt idx="96">
                  <c:v>1.92</c:v>
                </c:pt>
                <c:pt idx="97">
                  <c:v>1.94</c:v>
                </c:pt>
                <c:pt idx="98">
                  <c:v>1.96</c:v>
                </c:pt>
                <c:pt idx="99">
                  <c:v>1.98</c:v>
                </c:pt>
                <c:pt idx="100">
                  <c:v>2</c:v>
                </c:pt>
                <c:pt idx="101">
                  <c:v>2.02</c:v>
                </c:pt>
                <c:pt idx="102">
                  <c:v>2.04</c:v>
                </c:pt>
                <c:pt idx="103">
                  <c:v>2.06</c:v>
                </c:pt>
                <c:pt idx="104">
                  <c:v>2.08</c:v>
                </c:pt>
                <c:pt idx="105">
                  <c:v>2.1</c:v>
                </c:pt>
                <c:pt idx="106">
                  <c:v>2.12</c:v>
                </c:pt>
                <c:pt idx="107">
                  <c:v>2.14</c:v>
                </c:pt>
                <c:pt idx="108">
                  <c:v>2.16</c:v>
                </c:pt>
                <c:pt idx="109">
                  <c:v>2.18</c:v>
                </c:pt>
                <c:pt idx="110">
                  <c:v>2.2</c:v>
                </c:pt>
                <c:pt idx="111">
                  <c:v>2.22</c:v>
                </c:pt>
                <c:pt idx="112">
                  <c:v>2.24</c:v>
                </c:pt>
                <c:pt idx="113">
                  <c:v>2.26</c:v>
                </c:pt>
                <c:pt idx="114">
                  <c:v>2.28</c:v>
                </c:pt>
                <c:pt idx="115">
                  <c:v>2.3</c:v>
                </c:pt>
                <c:pt idx="116">
                  <c:v>2.32</c:v>
                </c:pt>
                <c:pt idx="117">
                  <c:v>2.34</c:v>
                </c:pt>
                <c:pt idx="118">
                  <c:v>2.36</c:v>
                </c:pt>
                <c:pt idx="119">
                  <c:v>2.38</c:v>
                </c:pt>
                <c:pt idx="120">
                  <c:v>2.4</c:v>
                </c:pt>
                <c:pt idx="121">
                  <c:v>2.42</c:v>
                </c:pt>
                <c:pt idx="122">
                  <c:v>2.44</c:v>
                </c:pt>
                <c:pt idx="123">
                  <c:v>2.46</c:v>
                </c:pt>
                <c:pt idx="124">
                  <c:v>2.48</c:v>
                </c:pt>
                <c:pt idx="125">
                  <c:v>2.5</c:v>
                </c:pt>
                <c:pt idx="126">
                  <c:v>2.52</c:v>
                </c:pt>
                <c:pt idx="127">
                  <c:v>2.54</c:v>
                </c:pt>
                <c:pt idx="128">
                  <c:v>2.56</c:v>
                </c:pt>
                <c:pt idx="129">
                  <c:v>2.58</c:v>
                </c:pt>
                <c:pt idx="130">
                  <c:v>2.6</c:v>
                </c:pt>
                <c:pt idx="131">
                  <c:v>2.62</c:v>
                </c:pt>
                <c:pt idx="132">
                  <c:v>2.64</c:v>
                </c:pt>
                <c:pt idx="133">
                  <c:v>2.66</c:v>
                </c:pt>
                <c:pt idx="134">
                  <c:v>2.68</c:v>
                </c:pt>
                <c:pt idx="135">
                  <c:v>2.7</c:v>
                </c:pt>
                <c:pt idx="136">
                  <c:v>2.72</c:v>
                </c:pt>
                <c:pt idx="137">
                  <c:v>2.74</c:v>
                </c:pt>
                <c:pt idx="138">
                  <c:v>2.76</c:v>
                </c:pt>
                <c:pt idx="139">
                  <c:v>2.78</c:v>
                </c:pt>
                <c:pt idx="140">
                  <c:v>2.8</c:v>
                </c:pt>
                <c:pt idx="141">
                  <c:v>2.82</c:v>
                </c:pt>
                <c:pt idx="142">
                  <c:v>2.84</c:v>
                </c:pt>
                <c:pt idx="143">
                  <c:v>2.86</c:v>
                </c:pt>
                <c:pt idx="144">
                  <c:v>2.88</c:v>
                </c:pt>
                <c:pt idx="145">
                  <c:v>2.9</c:v>
                </c:pt>
                <c:pt idx="146">
                  <c:v>2.92</c:v>
                </c:pt>
                <c:pt idx="147">
                  <c:v>2.94</c:v>
                </c:pt>
                <c:pt idx="148">
                  <c:v>2.96</c:v>
                </c:pt>
                <c:pt idx="149">
                  <c:v>2.98</c:v>
                </c:pt>
                <c:pt idx="150">
                  <c:v>3</c:v>
                </c:pt>
              </c:numCache>
            </c:numRef>
          </c:xVal>
          <c:yVal>
            <c:numRef>
              <c:f>Eff_vs_IOUT!$AI$7:$AI$157</c:f>
              <c:numCache>
                <c:formatCode>General</c:formatCode>
                <c:ptCount val="151"/>
                <c:pt idx="0">
                  <c:v>0</c:v>
                </c:pt>
                <c:pt idx="1">
                  <c:v>0.0166749759210857</c:v>
                </c:pt>
                <c:pt idx="2">
                  <c:v>0.0329565401934279</c:v>
                </c:pt>
                <c:pt idx="3">
                  <c:v>0.0496095003884034</c:v>
                </c:pt>
                <c:pt idx="4">
                  <c:v>0.0664324605833789</c:v>
                </c:pt>
                <c:pt idx="5">
                  <c:v>0.0834254207783543</c:v>
                </c:pt>
                <c:pt idx="6">
                  <c:v>0.10058838097333</c:v>
                </c:pt>
                <c:pt idx="7">
                  <c:v>0.117921341168305</c:v>
                </c:pt>
                <c:pt idx="8">
                  <c:v>0.135424301363281</c:v>
                </c:pt>
                <c:pt idx="9">
                  <c:v>0.153097261558256</c:v>
                </c:pt>
                <c:pt idx="10">
                  <c:v>0.170940221753232</c:v>
                </c:pt>
                <c:pt idx="11">
                  <c:v>0.188953181948207</c:v>
                </c:pt>
                <c:pt idx="12">
                  <c:v>0.207136142143183</c:v>
                </c:pt>
                <c:pt idx="13">
                  <c:v>0.225489102338158</c:v>
                </c:pt>
                <c:pt idx="14">
                  <c:v>0.244012062533134</c:v>
                </c:pt>
                <c:pt idx="15">
                  <c:v>0.262705022728109</c:v>
                </c:pt>
                <c:pt idx="16">
                  <c:v>0.281567982923085</c:v>
                </c:pt>
                <c:pt idx="17">
                  <c:v>0.30060094311806</c:v>
                </c:pt>
                <c:pt idx="18">
                  <c:v>0.319803903313035</c:v>
                </c:pt>
                <c:pt idx="19">
                  <c:v>0.339176863508011</c:v>
                </c:pt>
                <c:pt idx="20">
                  <c:v>0.358719823702986</c:v>
                </c:pt>
                <c:pt idx="21">
                  <c:v>0.378432783897962</c:v>
                </c:pt>
                <c:pt idx="22">
                  <c:v>0.398315744092938</c:v>
                </c:pt>
                <c:pt idx="23">
                  <c:v>0.418368704287913</c:v>
                </c:pt>
                <c:pt idx="24">
                  <c:v>0.438591664482888</c:v>
                </c:pt>
                <c:pt idx="25">
                  <c:v>0.458984624677864</c:v>
                </c:pt>
                <c:pt idx="26">
                  <c:v>0.479547584872839</c:v>
                </c:pt>
                <c:pt idx="27">
                  <c:v>0.500280545067815</c:v>
                </c:pt>
                <c:pt idx="28">
                  <c:v>0.52118350526279</c:v>
                </c:pt>
                <c:pt idx="29">
                  <c:v>0.542256465457766</c:v>
                </c:pt>
                <c:pt idx="30">
                  <c:v>0.563499425652741</c:v>
                </c:pt>
                <c:pt idx="31">
                  <c:v>0.584912385847717</c:v>
                </c:pt>
                <c:pt idx="32">
                  <c:v>0.606495346042692</c:v>
                </c:pt>
                <c:pt idx="33">
                  <c:v>0.628248306237668</c:v>
                </c:pt>
                <c:pt idx="34">
                  <c:v>0.650171266432643</c:v>
                </c:pt>
                <c:pt idx="35">
                  <c:v>0.672264226627619</c:v>
                </c:pt>
                <c:pt idx="36">
                  <c:v>0.694527186822594</c:v>
                </c:pt>
                <c:pt idx="37">
                  <c:v>0.71696014701757</c:v>
                </c:pt>
                <c:pt idx="38">
                  <c:v>0.739563107212545</c:v>
                </c:pt>
                <c:pt idx="39">
                  <c:v>0.762336067407521</c:v>
                </c:pt>
                <c:pt idx="40">
                  <c:v>0.785279027602496</c:v>
                </c:pt>
                <c:pt idx="41">
                  <c:v>0.808391987797472</c:v>
                </c:pt>
                <c:pt idx="42">
                  <c:v>0.831674947992447</c:v>
                </c:pt>
                <c:pt idx="43">
                  <c:v>0.855127908187423</c:v>
                </c:pt>
                <c:pt idx="44">
                  <c:v>0.878750868382398</c:v>
                </c:pt>
                <c:pt idx="45">
                  <c:v>0.902543828577374</c:v>
                </c:pt>
                <c:pt idx="46">
                  <c:v>0.926506788772349</c:v>
                </c:pt>
                <c:pt idx="47">
                  <c:v>0.950639748967325</c:v>
                </c:pt>
                <c:pt idx="48">
                  <c:v>0.9749427091623</c:v>
                </c:pt>
                <c:pt idx="49">
                  <c:v>0.999415669357276</c:v>
                </c:pt>
                <c:pt idx="50">
                  <c:v>1.02405862955225</c:v>
                </c:pt>
                <c:pt idx="51">
                  <c:v>1.04887158974723</c:v>
                </c:pt>
                <c:pt idx="52">
                  <c:v>1.0738545499422</c:v>
                </c:pt>
                <c:pt idx="53">
                  <c:v>1.09900751013718</c:v>
                </c:pt>
                <c:pt idx="54">
                  <c:v>1.12433047033215</c:v>
                </c:pt>
                <c:pt idx="55">
                  <c:v>1.14982343052713</c:v>
                </c:pt>
                <c:pt idx="56">
                  <c:v>1.1754863907221</c:v>
                </c:pt>
                <c:pt idx="57">
                  <c:v>1.20131935091708</c:v>
                </c:pt>
                <c:pt idx="58">
                  <c:v>1.22732231111205</c:v>
                </c:pt>
                <c:pt idx="59">
                  <c:v>1.25349527130703</c:v>
                </c:pt>
                <c:pt idx="60">
                  <c:v>1.27983823150201</c:v>
                </c:pt>
                <c:pt idx="61">
                  <c:v>1.30635119169698</c:v>
                </c:pt>
                <c:pt idx="62">
                  <c:v>1.33303415189196</c:v>
                </c:pt>
                <c:pt idx="63">
                  <c:v>1.35988711208693</c:v>
                </c:pt>
                <c:pt idx="64">
                  <c:v>1.38691007228191</c:v>
                </c:pt>
                <c:pt idx="65">
                  <c:v>1.41410303247688</c:v>
                </c:pt>
                <c:pt idx="66">
                  <c:v>1.44146599267186</c:v>
                </c:pt>
                <c:pt idx="67">
                  <c:v>1.46899895286683</c:v>
                </c:pt>
                <c:pt idx="68">
                  <c:v>1.49670191306181</c:v>
                </c:pt>
                <c:pt idx="69">
                  <c:v>1.52457487325679</c:v>
                </c:pt>
                <c:pt idx="70">
                  <c:v>1.55261783345176</c:v>
                </c:pt>
                <c:pt idx="71">
                  <c:v>1.58083079364674</c:v>
                </c:pt>
                <c:pt idx="72">
                  <c:v>1.60921375384171</c:v>
                </c:pt>
                <c:pt idx="73">
                  <c:v>1.63776671403669</c:v>
                </c:pt>
                <c:pt idx="74">
                  <c:v>1.66648967423166</c:v>
                </c:pt>
                <c:pt idx="75">
                  <c:v>1.69538263442664</c:v>
                </c:pt>
                <c:pt idx="76">
                  <c:v>1.72444559462161</c:v>
                </c:pt>
                <c:pt idx="77">
                  <c:v>1.75367855481659</c:v>
                </c:pt>
                <c:pt idx="78">
                  <c:v>1.78308151501156</c:v>
                </c:pt>
                <c:pt idx="79">
                  <c:v>1.81265447520654</c:v>
                </c:pt>
                <c:pt idx="80">
                  <c:v>1.84239743540152</c:v>
                </c:pt>
                <c:pt idx="81">
                  <c:v>1.87231039559649</c:v>
                </c:pt>
                <c:pt idx="82">
                  <c:v>1.90239335579147</c:v>
                </c:pt>
                <c:pt idx="83">
                  <c:v>1.93264631598644</c:v>
                </c:pt>
                <c:pt idx="84">
                  <c:v>1.96306927618142</c:v>
                </c:pt>
                <c:pt idx="85">
                  <c:v>1.99366223637639</c:v>
                </c:pt>
                <c:pt idx="86">
                  <c:v>2.02442519657137</c:v>
                </c:pt>
                <c:pt idx="87">
                  <c:v>2.05535815676634</c:v>
                </c:pt>
                <c:pt idx="88">
                  <c:v>2.08646111696132</c:v>
                </c:pt>
                <c:pt idx="89">
                  <c:v>2.11773407715629</c:v>
                </c:pt>
                <c:pt idx="90">
                  <c:v>2.14917703735127</c:v>
                </c:pt>
                <c:pt idx="91">
                  <c:v>2.18078999754625</c:v>
                </c:pt>
                <c:pt idx="92">
                  <c:v>2.21257295774122</c:v>
                </c:pt>
                <c:pt idx="93">
                  <c:v>2.2445259179362</c:v>
                </c:pt>
                <c:pt idx="94">
                  <c:v>2.27664887813117</c:v>
                </c:pt>
                <c:pt idx="95">
                  <c:v>2.30894183832615</c:v>
                </c:pt>
                <c:pt idx="96">
                  <c:v>2.34140479852112</c:v>
                </c:pt>
                <c:pt idx="97">
                  <c:v>2.3740377587161</c:v>
                </c:pt>
                <c:pt idx="98">
                  <c:v>2.40684071891107</c:v>
                </c:pt>
                <c:pt idx="99">
                  <c:v>2.43981367910605</c:v>
                </c:pt>
                <c:pt idx="100">
                  <c:v>2.47295663930102</c:v>
                </c:pt>
                <c:pt idx="101">
                  <c:v>2.506269599496</c:v>
                </c:pt>
                <c:pt idx="102">
                  <c:v>2.53975255969098</c:v>
                </c:pt>
                <c:pt idx="103">
                  <c:v>2.57340551988595</c:v>
                </c:pt>
                <c:pt idx="104">
                  <c:v>2.60722848008093</c:v>
                </c:pt>
                <c:pt idx="105">
                  <c:v>2.6412214402759</c:v>
                </c:pt>
                <c:pt idx="106">
                  <c:v>2.67538440047088</c:v>
                </c:pt>
                <c:pt idx="107">
                  <c:v>2.70971736066585</c:v>
                </c:pt>
                <c:pt idx="108">
                  <c:v>2.74422032086083</c:v>
                </c:pt>
                <c:pt idx="109">
                  <c:v>2.7788932810558</c:v>
                </c:pt>
                <c:pt idx="110">
                  <c:v>2.81373624125078</c:v>
                </c:pt>
                <c:pt idx="111">
                  <c:v>2.84874920144576</c:v>
                </c:pt>
                <c:pt idx="112">
                  <c:v>2.88393216164073</c:v>
                </c:pt>
                <c:pt idx="113">
                  <c:v>2.91928512183571</c:v>
                </c:pt>
                <c:pt idx="114">
                  <c:v>2.95480808203068</c:v>
                </c:pt>
                <c:pt idx="115">
                  <c:v>2.99050104222566</c:v>
                </c:pt>
                <c:pt idx="116">
                  <c:v>3.02636400242063</c:v>
                </c:pt>
                <c:pt idx="117">
                  <c:v>3.06239696261561</c:v>
                </c:pt>
                <c:pt idx="118">
                  <c:v>3.09859992281058</c:v>
                </c:pt>
                <c:pt idx="119">
                  <c:v>3.13497288300556</c:v>
                </c:pt>
                <c:pt idx="120">
                  <c:v>3.17151584320053</c:v>
                </c:pt>
                <c:pt idx="121">
                  <c:v>3.20822880339551</c:v>
                </c:pt>
                <c:pt idx="122">
                  <c:v>3.24511176359048</c:v>
                </c:pt>
                <c:pt idx="123">
                  <c:v>3.28216472378546</c:v>
                </c:pt>
                <c:pt idx="124">
                  <c:v>3.31938768398044</c:v>
                </c:pt>
                <c:pt idx="125">
                  <c:v>3.35678064417541</c:v>
                </c:pt>
                <c:pt idx="126">
                  <c:v>3.39434360437039</c:v>
                </c:pt>
                <c:pt idx="127">
                  <c:v>3.43207656456536</c:v>
                </c:pt>
                <c:pt idx="128">
                  <c:v>3.46997952476034</c:v>
                </c:pt>
                <c:pt idx="129">
                  <c:v>3.50805248495531</c:v>
                </c:pt>
                <c:pt idx="130">
                  <c:v>3.54629544515029</c:v>
                </c:pt>
                <c:pt idx="131">
                  <c:v>3.58470840534527</c:v>
                </c:pt>
                <c:pt idx="132">
                  <c:v>3.62329136554024</c:v>
                </c:pt>
                <c:pt idx="133">
                  <c:v>3.66204432573522</c:v>
                </c:pt>
                <c:pt idx="134">
                  <c:v>3.70096728593019</c:v>
                </c:pt>
                <c:pt idx="135">
                  <c:v>3.74006024612517</c:v>
                </c:pt>
                <c:pt idx="136">
                  <c:v>3.77932320632014</c:v>
                </c:pt>
                <c:pt idx="137">
                  <c:v>3.81875616651512</c:v>
                </c:pt>
                <c:pt idx="138">
                  <c:v>3.85835912671009</c:v>
                </c:pt>
                <c:pt idx="139">
                  <c:v>3.89813208690507</c:v>
                </c:pt>
                <c:pt idx="140">
                  <c:v>3.93807504710004</c:v>
                </c:pt>
                <c:pt idx="141">
                  <c:v>3.97818800729502</c:v>
                </c:pt>
                <c:pt idx="142">
                  <c:v>4.01847096748999</c:v>
                </c:pt>
                <c:pt idx="143">
                  <c:v>4.05892392768497</c:v>
                </c:pt>
                <c:pt idx="144">
                  <c:v>4.09954688787995</c:v>
                </c:pt>
                <c:pt idx="145">
                  <c:v>4.14033984807492</c:v>
                </c:pt>
                <c:pt idx="146">
                  <c:v>4.1813028082699</c:v>
                </c:pt>
                <c:pt idx="147">
                  <c:v>4.22243576846487</c:v>
                </c:pt>
                <c:pt idx="148">
                  <c:v>4.26373872865985</c:v>
                </c:pt>
                <c:pt idx="149">
                  <c:v>4.30521168885482</c:v>
                </c:pt>
                <c:pt idx="150">
                  <c:v>4.3468546490498</c:v>
                </c:pt>
              </c:numCache>
            </c:numRef>
          </c:yVal>
          <c:smooth val="1"/>
        </c:ser>
        <c:ser>
          <c:idx val="2"/>
          <c:order val="2"/>
          <c:tx>
            <c:strRef>
              <c:f>"Diode"</c:f>
              <c:strCache>
                <c:ptCount val="1"/>
                <c:pt idx="0">
                  <c:v>Diode</c:v>
                </c:pt>
              </c:strCache>
            </c:strRef>
          </c:tx>
          <c:spPr>
            <a:ln w="28575" cap="rnd" cmpd="sng" algn="ctr">
              <a:solidFill>
                <a:schemeClr val="bg2">
                  <a:lumMod val="50000"/>
                </a:schemeClr>
              </a:solidFill>
              <a:prstDash val="sysDash"/>
              <a:round/>
            </a:ln>
          </c:spPr>
          <c:marker>
            <c:symbol val="none"/>
          </c:marker>
          <c:dLbls>
            <c:delete val="1"/>
          </c:dLbls>
          <c:xVal>
            <c:numRef>
              <c:f>Eff_vs_IOUT!$S$8:$S$157</c:f>
              <c:numCache>
                <c:formatCode>General</c:formatCode>
                <c:ptCount val="150"/>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pt idx="23">
                  <c:v>0.48</c:v>
                </c:pt>
                <c:pt idx="24">
                  <c:v>0.5</c:v>
                </c:pt>
                <c:pt idx="25">
                  <c:v>0.52</c:v>
                </c:pt>
                <c:pt idx="26">
                  <c:v>0.54</c:v>
                </c:pt>
                <c:pt idx="27">
                  <c:v>0.56</c:v>
                </c:pt>
                <c:pt idx="28">
                  <c:v>0.58</c:v>
                </c:pt>
                <c:pt idx="29">
                  <c:v>0.6</c:v>
                </c:pt>
                <c:pt idx="30">
                  <c:v>0.62</c:v>
                </c:pt>
                <c:pt idx="31">
                  <c:v>0.64</c:v>
                </c:pt>
                <c:pt idx="32">
                  <c:v>0.66</c:v>
                </c:pt>
                <c:pt idx="33">
                  <c:v>0.68</c:v>
                </c:pt>
                <c:pt idx="34">
                  <c:v>0.7</c:v>
                </c:pt>
                <c:pt idx="35">
                  <c:v>0.72</c:v>
                </c:pt>
                <c:pt idx="36">
                  <c:v>0.74</c:v>
                </c:pt>
                <c:pt idx="37">
                  <c:v>0.76</c:v>
                </c:pt>
                <c:pt idx="38">
                  <c:v>0.78</c:v>
                </c:pt>
                <c:pt idx="39">
                  <c:v>0.8</c:v>
                </c:pt>
                <c:pt idx="40">
                  <c:v>0.82</c:v>
                </c:pt>
                <c:pt idx="41">
                  <c:v>0.84</c:v>
                </c:pt>
                <c:pt idx="42">
                  <c:v>0.86</c:v>
                </c:pt>
                <c:pt idx="43">
                  <c:v>0.88</c:v>
                </c:pt>
                <c:pt idx="44">
                  <c:v>0.9</c:v>
                </c:pt>
                <c:pt idx="45">
                  <c:v>0.92</c:v>
                </c:pt>
                <c:pt idx="46">
                  <c:v>0.94</c:v>
                </c:pt>
                <c:pt idx="47">
                  <c:v>0.96</c:v>
                </c:pt>
                <c:pt idx="48">
                  <c:v>0.98</c:v>
                </c:pt>
                <c:pt idx="49">
                  <c:v>1</c:v>
                </c:pt>
                <c:pt idx="50">
                  <c:v>1.02</c:v>
                </c:pt>
                <c:pt idx="51">
                  <c:v>1.04</c:v>
                </c:pt>
                <c:pt idx="52">
                  <c:v>1.06</c:v>
                </c:pt>
                <c:pt idx="53">
                  <c:v>1.08</c:v>
                </c:pt>
                <c:pt idx="54">
                  <c:v>1.1</c:v>
                </c:pt>
                <c:pt idx="55">
                  <c:v>1.12</c:v>
                </c:pt>
                <c:pt idx="56">
                  <c:v>1.14</c:v>
                </c:pt>
                <c:pt idx="57">
                  <c:v>1.16</c:v>
                </c:pt>
                <c:pt idx="58">
                  <c:v>1.18</c:v>
                </c:pt>
                <c:pt idx="59">
                  <c:v>1.2</c:v>
                </c:pt>
                <c:pt idx="60">
                  <c:v>1.22</c:v>
                </c:pt>
                <c:pt idx="61">
                  <c:v>1.24</c:v>
                </c:pt>
                <c:pt idx="62">
                  <c:v>1.26</c:v>
                </c:pt>
                <c:pt idx="63">
                  <c:v>1.28</c:v>
                </c:pt>
                <c:pt idx="64">
                  <c:v>1.3</c:v>
                </c:pt>
                <c:pt idx="65">
                  <c:v>1.32</c:v>
                </c:pt>
                <c:pt idx="66">
                  <c:v>1.34</c:v>
                </c:pt>
                <c:pt idx="67">
                  <c:v>1.36</c:v>
                </c:pt>
                <c:pt idx="68">
                  <c:v>1.38</c:v>
                </c:pt>
                <c:pt idx="69">
                  <c:v>1.4</c:v>
                </c:pt>
                <c:pt idx="70">
                  <c:v>1.42</c:v>
                </c:pt>
                <c:pt idx="71">
                  <c:v>1.44</c:v>
                </c:pt>
                <c:pt idx="72">
                  <c:v>1.46</c:v>
                </c:pt>
                <c:pt idx="73">
                  <c:v>1.48</c:v>
                </c:pt>
                <c:pt idx="74">
                  <c:v>1.5</c:v>
                </c:pt>
                <c:pt idx="75">
                  <c:v>1.52</c:v>
                </c:pt>
                <c:pt idx="76">
                  <c:v>1.54</c:v>
                </c:pt>
                <c:pt idx="77">
                  <c:v>1.56</c:v>
                </c:pt>
                <c:pt idx="78">
                  <c:v>1.58</c:v>
                </c:pt>
                <c:pt idx="79">
                  <c:v>1.6</c:v>
                </c:pt>
                <c:pt idx="80">
                  <c:v>1.62</c:v>
                </c:pt>
                <c:pt idx="81">
                  <c:v>1.64</c:v>
                </c:pt>
                <c:pt idx="82">
                  <c:v>1.66</c:v>
                </c:pt>
                <c:pt idx="83">
                  <c:v>1.68</c:v>
                </c:pt>
                <c:pt idx="84">
                  <c:v>1.7</c:v>
                </c:pt>
                <c:pt idx="85">
                  <c:v>1.72</c:v>
                </c:pt>
                <c:pt idx="86">
                  <c:v>1.74</c:v>
                </c:pt>
                <c:pt idx="87">
                  <c:v>1.76</c:v>
                </c:pt>
                <c:pt idx="88">
                  <c:v>1.78</c:v>
                </c:pt>
                <c:pt idx="89">
                  <c:v>1.8</c:v>
                </c:pt>
                <c:pt idx="90">
                  <c:v>1.82</c:v>
                </c:pt>
                <c:pt idx="91">
                  <c:v>1.84</c:v>
                </c:pt>
                <c:pt idx="92">
                  <c:v>1.86</c:v>
                </c:pt>
                <c:pt idx="93">
                  <c:v>1.88</c:v>
                </c:pt>
                <c:pt idx="94">
                  <c:v>1.9</c:v>
                </c:pt>
                <c:pt idx="95">
                  <c:v>1.92</c:v>
                </c:pt>
                <c:pt idx="96">
                  <c:v>1.94</c:v>
                </c:pt>
                <c:pt idx="97">
                  <c:v>1.96</c:v>
                </c:pt>
                <c:pt idx="98">
                  <c:v>1.98</c:v>
                </c:pt>
                <c:pt idx="99">
                  <c:v>2</c:v>
                </c:pt>
                <c:pt idx="100">
                  <c:v>2.02</c:v>
                </c:pt>
                <c:pt idx="101">
                  <c:v>2.04</c:v>
                </c:pt>
                <c:pt idx="102">
                  <c:v>2.06</c:v>
                </c:pt>
                <c:pt idx="103">
                  <c:v>2.08</c:v>
                </c:pt>
                <c:pt idx="104">
                  <c:v>2.1</c:v>
                </c:pt>
                <c:pt idx="105">
                  <c:v>2.12</c:v>
                </c:pt>
                <c:pt idx="106">
                  <c:v>2.14</c:v>
                </c:pt>
                <c:pt idx="107">
                  <c:v>2.16</c:v>
                </c:pt>
                <c:pt idx="108">
                  <c:v>2.18</c:v>
                </c:pt>
                <c:pt idx="109">
                  <c:v>2.2</c:v>
                </c:pt>
                <c:pt idx="110">
                  <c:v>2.22</c:v>
                </c:pt>
                <c:pt idx="111">
                  <c:v>2.24</c:v>
                </c:pt>
                <c:pt idx="112">
                  <c:v>2.26</c:v>
                </c:pt>
                <c:pt idx="113">
                  <c:v>2.28</c:v>
                </c:pt>
                <c:pt idx="114">
                  <c:v>2.3</c:v>
                </c:pt>
                <c:pt idx="115">
                  <c:v>2.32</c:v>
                </c:pt>
                <c:pt idx="116">
                  <c:v>2.34</c:v>
                </c:pt>
                <c:pt idx="117">
                  <c:v>2.36</c:v>
                </c:pt>
                <c:pt idx="118">
                  <c:v>2.38</c:v>
                </c:pt>
                <c:pt idx="119">
                  <c:v>2.4</c:v>
                </c:pt>
                <c:pt idx="120">
                  <c:v>2.42</c:v>
                </c:pt>
                <c:pt idx="121">
                  <c:v>2.44</c:v>
                </c:pt>
                <c:pt idx="122">
                  <c:v>2.46</c:v>
                </c:pt>
                <c:pt idx="123">
                  <c:v>2.48</c:v>
                </c:pt>
                <c:pt idx="124">
                  <c:v>2.5</c:v>
                </c:pt>
                <c:pt idx="125">
                  <c:v>2.52</c:v>
                </c:pt>
                <c:pt idx="126">
                  <c:v>2.54</c:v>
                </c:pt>
                <c:pt idx="127">
                  <c:v>2.56</c:v>
                </c:pt>
                <c:pt idx="128">
                  <c:v>2.58</c:v>
                </c:pt>
                <c:pt idx="129">
                  <c:v>2.6</c:v>
                </c:pt>
                <c:pt idx="130">
                  <c:v>2.62</c:v>
                </c:pt>
                <c:pt idx="131">
                  <c:v>2.64</c:v>
                </c:pt>
                <c:pt idx="132">
                  <c:v>2.66</c:v>
                </c:pt>
                <c:pt idx="133">
                  <c:v>2.68</c:v>
                </c:pt>
                <c:pt idx="134">
                  <c:v>2.7</c:v>
                </c:pt>
                <c:pt idx="135">
                  <c:v>2.72</c:v>
                </c:pt>
                <c:pt idx="136">
                  <c:v>2.74</c:v>
                </c:pt>
                <c:pt idx="137">
                  <c:v>2.76</c:v>
                </c:pt>
                <c:pt idx="138">
                  <c:v>2.78</c:v>
                </c:pt>
                <c:pt idx="139">
                  <c:v>2.8</c:v>
                </c:pt>
                <c:pt idx="140">
                  <c:v>2.82</c:v>
                </c:pt>
                <c:pt idx="141">
                  <c:v>2.84</c:v>
                </c:pt>
                <c:pt idx="142">
                  <c:v>2.86</c:v>
                </c:pt>
                <c:pt idx="143">
                  <c:v>2.88</c:v>
                </c:pt>
                <c:pt idx="144">
                  <c:v>2.9</c:v>
                </c:pt>
                <c:pt idx="145">
                  <c:v>2.92</c:v>
                </c:pt>
                <c:pt idx="146">
                  <c:v>2.94</c:v>
                </c:pt>
                <c:pt idx="147">
                  <c:v>2.96</c:v>
                </c:pt>
                <c:pt idx="148">
                  <c:v>2.98</c:v>
                </c:pt>
                <c:pt idx="149">
                  <c:v>3</c:v>
                </c:pt>
              </c:numCache>
            </c:numRef>
          </c:xVal>
          <c:yVal>
            <c:numRef>
              <c:f>Eff_vs_IOUT!$AN$8:$AN$157</c:f>
              <c:numCache>
                <c:formatCode>General</c:formatCode>
                <c:ptCount val="150"/>
                <c:pt idx="0">
                  <c:v>0.0065</c:v>
                </c:pt>
                <c:pt idx="1">
                  <c:v>0.013</c:v>
                </c:pt>
                <c:pt idx="2">
                  <c:v>0.0195</c:v>
                </c:pt>
                <c:pt idx="3">
                  <c:v>0.026</c:v>
                </c:pt>
                <c:pt idx="4">
                  <c:v>0.0325</c:v>
                </c:pt>
                <c:pt idx="5">
                  <c:v>0.039</c:v>
                </c:pt>
                <c:pt idx="6">
                  <c:v>0.0455</c:v>
                </c:pt>
                <c:pt idx="7">
                  <c:v>0.052</c:v>
                </c:pt>
                <c:pt idx="8">
                  <c:v>0.0585</c:v>
                </c:pt>
                <c:pt idx="9">
                  <c:v>0.065</c:v>
                </c:pt>
                <c:pt idx="10">
                  <c:v>0.0715</c:v>
                </c:pt>
                <c:pt idx="11">
                  <c:v>0.078</c:v>
                </c:pt>
                <c:pt idx="12">
                  <c:v>0.0845</c:v>
                </c:pt>
                <c:pt idx="13">
                  <c:v>0.091</c:v>
                </c:pt>
                <c:pt idx="14">
                  <c:v>0.0975</c:v>
                </c:pt>
                <c:pt idx="15">
                  <c:v>0.104</c:v>
                </c:pt>
                <c:pt idx="16">
                  <c:v>0.1105</c:v>
                </c:pt>
                <c:pt idx="17">
                  <c:v>0.117</c:v>
                </c:pt>
                <c:pt idx="18">
                  <c:v>0.1235</c:v>
                </c:pt>
                <c:pt idx="19">
                  <c:v>0.13</c:v>
                </c:pt>
                <c:pt idx="20">
                  <c:v>0.1365</c:v>
                </c:pt>
                <c:pt idx="21">
                  <c:v>0.143</c:v>
                </c:pt>
                <c:pt idx="22">
                  <c:v>0.1495</c:v>
                </c:pt>
                <c:pt idx="23">
                  <c:v>0.156</c:v>
                </c:pt>
                <c:pt idx="24">
                  <c:v>0.1625</c:v>
                </c:pt>
                <c:pt idx="25">
                  <c:v>0.169</c:v>
                </c:pt>
                <c:pt idx="26">
                  <c:v>0.1755</c:v>
                </c:pt>
                <c:pt idx="27">
                  <c:v>0.182</c:v>
                </c:pt>
                <c:pt idx="28">
                  <c:v>0.1885</c:v>
                </c:pt>
                <c:pt idx="29">
                  <c:v>0.195</c:v>
                </c:pt>
                <c:pt idx="30">
                  <c:v>0.2015</c:v>
                </c:pt>
                <c:pt idx="31">
                  <c:v>0.208</c:v>
                </c:pt>
                <c:pt idx="32">
                  <c:v>0.2145</c:v>
                </c:pt>
                <c:pt idx="33">
                  <c:v>0.221</c:v>
                </c:pt>
                <c:pt idx="34">
                  <c:v>0.2275</c:v>
                </c:pt>
                <c:pt idx="35">
                  <c:v>0.234</c:v>
                </c:pt>
                <c:pt idx="36">
                  <c:v>0.2405</c:v>
                </c:pt>
                <c:pt idx="37">
                  <c:v>0.247</c:v>
                </c:pt>
                <c:pt idx="38">
                  <c:v>0.2535</c:v>
                </c:pt>
                <c:pt idx="39">
                  <c:v>0.26</c:v>
                </c:pt>
                <c:pt idx="40">
                  <c:v>0.2665</c:v>
                </c:pt>
                <c:pt idx="41">
                  <c:v>0.273</c:v>
                </c:pt>
                <c:pt idx="42">
                  <c:v>0.2795</c:v>
                </c:pt>
                <c:pt idx="43">
                  <c:v>0.286</c:v>
                </c:pt>
                <c:pt idx="44">
                  <c:v>0.2925</c:v>
                </c:pt>
                <c:pt idx="45">
                  <c:v>0.299</c:v>
                </c:pt>
                <c:pt idx="46">
                  <c:v>0.3055</c:v>
                </c:pt>
                <c:pt idx="47">
                  <c:v>0.312</c:v>
                </c:pt>
                <c:pt idx="48">
                  <c:v>0.3185</c:v>
                </c:pt>
                <c:pt idx="49">
                  <c:v>0.325</c:v>
                </c:pt>
                <c:pt idx="50">
                  <c:v>0.3315</c:v>
                </c:pt>
                <c:pt idx="51">
                  <c:v>0.338</c:v>
                </c:pt>
                <c:pt idx="52">
                  <c:v>0.3445</c:v>
                </c:pt>
                <c:pt idx="53">
                  <c:v>0.351</c:v>
                </c:pt>
                <c:pt idx="54">
                  <c:v>0.3575</c:v>
                </c:pt>
                <c:pt idx="55">
                  <c:v>0.364</c:v>
                </c:pt>
                <c:pt idx="56">
                  <c:v>0.3705</c:v>
                </c:pt>
                <c:pt idx="57">
                  <c:v>0.377</c:v>
                </c:pt>
                <c:pt idx="58">
                  <c:v>0.3835</c:v>
                </c:pt>
                <c:pt idx="59">
                  <c:v>0.39</c:v>
                </c:pt>
                <c:pt idx="60">
                  <c:v>0.3965</c:v>
                </c:pt>
                <c:pt idx="61">
                  <c:v>0.403</c:v>
                </c:pt>
                <c:pt idx="62">
                  <c:v>0.4095</c:v>
                </c:pt>
                <c:pt idx="63">
                  <c:v>0.416</c:v>
                </c:pt>
                <c:pt idx="64">
                  <c:v>0.4225</c:v>
                </c:pt>
                <c:pt idx="65">
                  <c:v>0.429</c:v>
                </c:pt>
                <c:pt idx="66">
                  <c:v>0.4355</c:v>
                </c:pt>
                <c:pt idx="67">
                  <c:v>0.442</c:v>
                </c:pt>
                <c:pt idx="68">
                  <c:v>0.4485</c:v>
                </c:pt>
                <c:pt idx="69">
                  <c:v>0.455</c:v>
                </c:pt>
                <c:pt idx="70">
                  <c:v>0.4615</c:v>
                </c:pt>
                <c:pt idx="71">
                  <c:v>0.468</c:v>
                </c:pt>
                <c:pt idx="72">
                  <c:v>0.4745</c:v>
                </c:pt>
                <c:pt idx="73">
                  <c:v>0.481</c:v>
                </c:pt>
                <c:pt idx="74">
                  <c:v>0.4875</c:v>
                </c:pt>
                <c:pt idx="75">
                  <c:v>0.494</c:v>
                </c:pt>
                <c:pt idx="76">
                  <c:v>0.5005</c:v>
                </c:pt>
                <c:pt idx="77">
                  <c:v>0.507</c:v>
                </c:pt>
                <c:pt idx="78">
                  <c:v>0.5135</c:v>
                </c:pt>
                <c:pt idx="79">
                  <c:v>0.52</c:v>
                </c:pt>
                <c:pt idx="80">
                  <c:v>0.5265</c:v>
                </c:pt>
                <c:pt idx="81">
                  <c:v>0.533</c:v>
                </c:pt>
                <c:pt idx="82">
                  <c:v>0.5395</c:v>
                </c:pt>
                <c:pt idx="83">
                  <c:v>0.546</c:v>
                </c:pt>
                <c:pt idx="84">
                  <c:v>0.5525</c:v>
                </c:pt>
                <c:pt idx="85">
                  <c:v>0.559</c:v>
                </c:pt>
                <c:pt idx="86">
                  <c:v>0.5655</c:v>
                </c:pt>
                <c:pt idx="87">
                  <c:v>0.572</c:v>
                </c:pt>
                <c:pt idx="88">
                  <c:v>0.5785</c:v>
                </c:pt>
                <c:pt idx="89">
                  <c:v>0.585</c:v>
                </c:pt>
                <c:pt idx="90">
                  <c:v>0.5915</c:v>
                </c:pt>
                <c:pt idx="91">
                  <c:v>0.598</c:v>
                </c:pt>
                <c:pt idx="92">
                  <c:v>0.6045</c:v>
                </c:pt>
                <c:pt idx="93">
                  <c:v>0.611</c:v>
                </c:pt>
                <c:pt idx="94">
                  <c:v>0.6175</c:v>
                </c:pt>
                <c:pt idx="95">
                  <c:v>0.624</c:v>
                </c:pt>
                <c:pt idx="96">
                  <c:v>0.6305</c:v>
                </c:pt>
                <c:pt idx="97">
                  <c:v>0.637</c:v>
                </c:pt>
                <c:pt idx="98">
                  <c:v>0.6435</c:v>
                </c:pt>
                <c:pt idx="99">
                  <c:v>0.65</c:v>
                </c:pt>
                <c:pt idx="100">
                  <c:v>0.6565</c:v>
                </c:pt>
                <c:pt idx="101">
                  <c:v>0.663</c:v>
                </c:pt>
                <c:pt idx="102">
                  <c:v>0.6695</c:v>
                </c:pt>
                <c:pt idx="103">
                  <c:v>0.676</c:v>
                </c:pt>
                <c:pt idx="104">
                  <c:v>0.6825</c:v>
                </c:pt>
                <c:pt idx="105">
                  <c:v>0.689</c:v>
                </c:pt>
                <c:pt idx="106">
                  <c:v>0.6955</c:v>
                </c:pt>
                <c:pt idx="107">
                  <c:v>0.702</c:v>
                </c:pt>
                <c:pt idx="108">
                  <c:v>0.7085</c:v>
                </c:pt>
                <c:pt idx="109">
                  <c:v>0.715</c:v>
                </c:pt>
                <c:pt idx="110">
                  <c:v>0.7215</c:v>
                </c:pt>
                <c:pt idx="111">
                  <c:v>0.728</c:v>
                </c:pt>
                <c:pt idx="112">
                  <c:v>0.7345</c:v>
                </c:pt>
                <c:pt idx="113">
                  <c:v>0.741</c:v>
                </c:pt>
                <c:pt idx="114">
                  <c:v>0.7475</c:v>
                </c:pt>
                <c:pt idx="115">
                  <c:v>0.754</c:v>
                </c:pt>
                <c:pt idx="116">
                  <c:v>0.7605</c:v>
                </c:pt>
                <c:pt idx="117">
                  <c:v>0.767</c:v>
                </c:pt>
                <c:pt idx="118">
                  <c:v>0.7735</c:v>
                </c:pt>
                <c:pt idx="119">
                  <c:v>0.78</c:v>
                </c:pt>
                <c:pt idx="120">
                  <c:v>0.7865</c:v>
                </c:pt>
                <c:pt idx="121">
                  <c:v>0.793</c:v>
                </c:pt>
                <c:pt idx="122">
                  <c:v>0.7995</c:v>
                </c:pt>
                <c:pt idx="123">
                  <c:v>0.806</c:v>
                </c:pt>
                <c:pt idx="124">
                  <c:v>0.8125</c:v>
                </c:pt>
                <c:pt idx="125">
                  <c:v>0.819</c:v>
                </c:pt>
                <c:pt idx="126">
                  <c:v>0.8255</c:v>
                </c:pt>
                <c:pt idx="127">
                  <c:v>0.832</c:v>
                </c:pt>
                <c:pt idx="128">
                  <c:v>0.8385</c:v>
                </c:pt>
                <c:pt idx="129">
                  <c:v>0.845</c:v>
                </c:pt>
                <c:pt idx="130">
                  <c:v>0.8515</c:v>
                </c:pt>
                <c:pt idx="131">
                  <c:v>0.858</c:v>
                </c:pt>
                <c:pt idx="132">
                  <c:v>0.8645</c:v>
                </c:pt>
                <c:pt idx="133">
                  <c:v>0.871</c:v>
                </c:pt>
                <c:pt idx="134">
                  <c:v>0.8775</c:v>
                </c:pt>
                <c:pt idx="135">
                  <c:v>0.884</c:v>
                </c:pt>
                <c:pt idx="136">
                  <c:v>0.8905</c:v>
                </c:pt>
                <c:pt idx="137">
                  <c:v>0.897</c:v>
                </c:pt>
                <c:pt idx="138">
                  <c:v>0.9035</c:v>
                </c:pt>
                <c:pt idx="139">
                  <c:v>0.91</c:v>
                </c:pt>
                <c:pt idx="140">
                  <c:v>0.9165</c:v>
                </c:pt>
                <c:pt idx="141">
                  <c:v>0.923</c:v>
                </c:pt>
                <c:pt idx="142">
                  <c:v>0.9295</c:v>
                </c:pt>
                <c:pt idx="143">
                  <c:v>0.936</c:v>
                </c:pt>
                <c:pt idx="144">
                  <c:v>0.9425</c:v>
                </c:pt>
                <c:pt idx="145">
                  <c:v>0.949</c:v>
                </c:pt>
                <c:pt idx="146">
                  <c:v>0.9555</c:v>
                </c:pt>
                <c:pt idx="147">
                  <c:v>0.962</c:v>
                </c:pt>
                <c:pt idx="148">
                  <c:v>0.9685</c:v>
                </c:pt>
                <c:pt idx="149">
                  <c:v>0.975</c:v>
                </c:pt>
              </c:numCache>
            </c:numRef>
          </c:yVal>
          <c:smooth val="1"/>
        </c:ser>
        <c:ser>
          <c:idx val="3"/>
          <c:order val="3"/>
          <c:tx>
            <c:strRef>
              <c:f>"RCS"</c:f>
              <c:strCache>
                <c:ptCount val="1"/>
                <c:pt idx="0">
                  <c:v>RCS</c:v>
                </c:pt>
              </c:strCache>
            </c:strRef>
          </c:tx>
          <c:spPr>
            <a:ln w="28575" cap="rnd" cmpd="sng" algn="ctr">
              <a:solidFill>
                <a:schemeClr val="accent5">
                  <a:lumMod val="75000"/>
                </a:schemeClr>
              </a:solidFill>
              <a:prstDash val="lgDashDotDot"/>
              <a:round/>
            </a:ln>
          </c:spPr>
          <c:marker>
            <c:symbol val="none"/>
          </c:marker>
          <c:dLbls>
            <c:delete val="1"/>
          </c:dLbls>
          <c:xVal>
            <c:numRef>
              <c:f>Eff_vs_IOUT!$S$7:$S$157</c:f>
              <c:numCache>
                <c:formatCode>General</c:formatCode>
                <c:ptCount val="151"/>
                <c:pt idx="0">
                  <c:v>0</c:v>
                </c:pt>
                <c:pt idx="1">
                  <c:v>0.02</c:v>
                </c:pt>
                <c:pt idx="2">
                  <c:v>0.04</c:v>
                </c:pt>
                <c:pt idx="3">
                  <c:v>0.06</c:v>
                </c:pt>
                <c:pt idx="4">
                  <c:v>0.08</c:v>
                </c:pt>
                <c:pt idx="5">
                  <c:v>0.1</c:v>
                </c:pt>
                <c:pt idx="6">
                  <c:v>0.12</c:v>
                </c:pt>
                <c:pt idx="7">
                  <c:v>0.14</c:v>
                </c:pt>
                <c:pt idx="8">
                  <c:v>0.16</c:v>
                </c:pt>
                <c:pt idx="9">
                  <c:v>0.18</c:v>
                </c:pt>
                <c:pt idx="10">
                  <c:v>0.2</c:v>
                </c:pt>
                <c:pt idx="11">
                  <c:v>0.22</c:v>
                </c:pt>
                <c:pt idx="12">
                  <c:v>0.24</c:v>
                </c:pt>
                <c:pt idx="13">
                  <c:v>0.26</c:v>
                </c:pt>
                <c:pt idx="14">
                  <c:v>0.28</c:v>
                </c:pt>
                <c:pt idx="15">
                  <c:v>0.3</c:v>
                </c:pt>
                <c:pt idx="16">
                  <c:v>0.32</c:v>
                </c:pt>
                <c:pt idx="17">
                  <c:v>0.34</c:v>
                </c:pt>
                <c:pt idx="18">
                  <c:v>0.36</c:v>
                </c:pt>
                <c:pt idx="19">
                  <c:v>0.38</c:v>
                </c:pt>
                <c:pt idx="20">
                  <c:v>0.4</c:v>
                </c:pt>
                <c:pt idx="21">
                  <c:v>0.42</c:v>
                </c:pt>
                <c:pt idx="22">
                  <c:v>0.44</c:v>
                </c:pt>
                <c:pt idx="23">
                  <c:v>0.46</c:v>
                </c:pt>
                <c:pt idx="24">
                  <c:v>0.48</c:v>
                </c:pt>
                <c:pt idx="25">
                  <c:v>0.5</c:v>
                </c:pt>
                <c:pt idx="26">
                  <c:v>0.52</c:v>
                </c:pt>
                <c:pt idx="27">
                  <c:v>0.54</c:v>
                </c:pt>
                <c:pt idx="28">
                  <c:v>0.56</c:v>
                </c:pt>
                <c:pt idx="29">
                  <c:v>0.58</c:v>
                </c:pt>
                <c:pt idx="30">
                  <c:v>0.6</c:v>
                </c:pt>
                <c:pt idx="31">
                  <c:v>0.62</c:v>
                </c:pt>
                <c:pt idx="32">
                  <c:v>0.64</c:v>
                </c:pt>
                <c:pt idx="33">
                  <c:v>0.66</c:v>
                </c:pt>
                <c:pt idx="34">
                  <c:v>0.68</c:v>
                </c:pt>
                <c:pt idx="35">
                  <c:v>0.7</c:v>
                </c:pt>
                <c:pt idx="36">
                  <c:v>0.72</c:v>
                </c:pt>
                <c:pt idx="37">
                  <c:v>0.74</c:v>
                </c:pt>
                <c:pt idx="38">
                  <c:v>0.76</c:v>
                </c:pt>
                <c:pt idx="39">
                  <c:v>0.78</c:v>
                </c:pt>
                <c:pt idx="40">
                  <c:v>0.8</c:v>
                </c:pt>
                <c:pt idx="41">
                  <c:v>0.82</c:v>
                </c:pt>
                <c:pt idx="42">
                  <c:v>0.84</c:v>
                </c:pt>
                <c:pt idx="43">
                  <c:v>0.86</c:v>
                </c:pt>
                <c:pt idx="44">
                  <c:v>0.88</c:v>
                </c:pt>
                <c:pt idx="45">
                  <c:v>0.9</c:v>
                </c:pt>
                <c:pt idx="46">
                  <c:v>0.92</c:v>
                </c:pt>
                <c:pt idx="47">
                  <c:v>0.94</c:v>
                </c:pt>
                <c:pt idx="48">
                  <c:v>0.96</c:v>
                </c:pt>
                <c:pt idx="49">
                  <c:v>0.98</c:v>
                </c:pt>
                <c:pt idx="50">
                  <c:v>1</c:v>
                </c:pt>
                <c:pt idx="51">
                  <c:v>1.02</c:v>
                </c:pt>
                <c:pt idx="52">
                  <c:v>1.04</c:v>
                </c:pt>
                <c:pt idx="53">
                  <c:v>1.06</c:v>
                </c:pt>
                <c:pt idx="54">
                  <c:v>1.08</c:v>
                </c:pt>
                <c:pt idx="55">
                  <c:v>1.1</c:v>
                </c:pt>
                <c:pt idx="56">
                  <c:v>1.12</c:v>
                </c:pt>
                <c:pt idx="57">
                  <c:v>1.14</c:v>
                </c:pt>
                <c:pt idx="58">
                  <c:v>1.16</c:v>
                </c:pt>
                <c:pt idx="59">
                  <c:v>1.18</c:v>
                </c:pt>
                <c:pt idx="60">
                  <c:v>1.2</c:v>
                </c:pt>
                <c:pt idx="61">
                  <c:v>1.22</c:v>
                </c:pt>
                <c:pt idx="62">
                  <c:v>1.24</c:v>
                </c:pt>
                <c:pt idx="63">
                  <c:v>1.26</c:v>
                </c:pt>
                <c:pt idx="64">
                  <c:v>1.28</c:v>
                </c:pt>
                <c:pt idx="65">
                  <c:v>1.3</c:v>
                </c:pt>
                <c:pt idx="66">
                  <c:v>1.32</c:v>
                </c:pt>
                <c:pt idx="67">
                  <c:v>1.34</c:v>
                </c:pt>
                <c:pt idx="68">
                  <c:v>1.36</c:v>
                </c:pt>
                <c:pt idx="69">
                  <c:v>1.38</c:v>
                </c:pt>
                <c:pt idx="70">
                  <c:v>1.4</c:v>
                </c:pt>
                <c:pt idx="71">
                  <c:v>1.42</c:v>
                </c:pt>
                <c:pt idx="72">
                  <c:v>1.44</c:v>
                </c:pt>
                <c:pt idx="73">
                  <c:v>1.46</c:v>
                </c:pt>
                <c:pt idx="74">
                  <c:v>1.48</c:v>
                </c:pt>
                <c:pt idx="75">
                  <c:v>1.5</c:v>
                </c:pt>
                <c:pt idx="76">
                  <c:v>1.52</c:v>
                </c:pt>
                <c:pt idx="77">
                  <c:v>1.54</c:v>
                </c:pt>
                <c:pt idx="78">
                  <c:v>1.56</c:v>
                </c:pt>
                <c:pt idx="79">
                  <c:v>1.58</c:v>
                </c:pt>
                <c:pt idx="80">
                  <c:v>1.6</c:v>
                </c:pt>
                <c:pt idx="81">
                  <c:v>1.62</c:v>
                </c:pt>
                <c:pt idx="82">
                  <c:v>1.64</c:v>
                </c:pt>
                <c:pt idx="83">
                  <c:v>1.66</c:v>
                </c:pt>
                <c:pt idx="84">
                  <c:v>1.68</c:v>
                </c:pt>
                <c:pt idx="85">
                  <c:v>1.7</c:v>
                </c:pt>
                <c:pt idx="86">
                  <c:v>1.72</c:v>
                </c:pt>
                <c:pt idx="87">
                  <c:v>1.74</c:v>
                </c:pt>
                <c:pt idx="88">
                  <c:v>1.76</c:v>
                </c:pt>
                <c:pt idx="89">
                  <c:v>1.78</c:v>
                </c:pt>
                <c:pt idx="90">
                  <c:v>1.8</c:v>
                </c:pt>
                <c:pt idx="91">
                  <c:v>1.82</c:v>
                </c:pt>
                <c:pt idx="92">
                  <c:v>1.84</c:v>
                </c:pt>
                <c:pt idx="93">
                  <c:v>1.86</c:v>
                </c:pt>
                <c:pt idx="94">
                  <c:v>1.88</c:v>
                </c:pt>
                <c:pt idx="95">
                  <c:v>1.9</c:v>
                </c:pt>
                <c:pt idx="96">
                  <c:v>1.92</c:v>
                </c:pt>
                <c:pt idx="97">
                  <c:v>1.94</c:v>
                </c:pt>
                <c:pt idx="98">
                  <c:v>1.96</c:v>
                </c:pt>
                <c:pt idx="99">
                  <c:v>1.98</c:v>
                </c:pt>
                <c:pt idx="100">
                  <c:v>2</c:v>
                </c:pt>
                <c:pt idx="101">
                  <c:v>2.02</c:v>
                </c:pt>
                <c:pt idx="102">
                  <c:v>2.04</c:v>
                </c:pt>
                <c:pt idx="103">
                  <c:v>2.06</c:v>
                </c:pt>
                <c:pt idx="104">
                  <c:v>2.08</c:v>
                </c:pt>
                <c:pt idx="105">
                  <c:v>2.1</c:v>
                </c:pt>
                <c:pt idx="106">
                  <c:v>2.12</c:v>
                </c:pt>
                <c:pt idx="107">
                  <c:v>2.14</c:v>
                </c:pt>
                <c:pt idx="108">
                  <c:v>2.16</c:v>
                </c:pt>
                <c:pt idx="109">
                  <c:v>2.18</c:v>
                </c:pt>
                <c:pt idx="110">
                  <c:v>2.2</c:v>
                </c:pt>
                <c:pt idx="111">
                  <c:v>2.22</c:v>
                </c:pt>
                <c:pt idx="112">
                  <c:v>2.24</c:v>
                </c:pt>
                <c:pt idx="113">
                  <c:v>2.26</c:v>
                </c:pt>
                <c:pt idx="114">
                  <c:v>2.28</c:v>
                </c:pt>
                <c:pt idx="115">
                  <c:v>2.3</c:v>
                </c:pt>
                <c:pt idx="116">
                  <c:v>2.32</c:v>
                </c:pt>
                <c:pt idx="117">
                  <c:v>2.34</c:v>
                </c:pt>
                <c:pt idx="118">
                  <c:v>2.36</c:v>
                </c:pt>
                <c:pt idx="119">
                  <c:v>2.38</c:v>
                </c:pt>
                <c:pt idx="120">
                  <c:v>2.4</c:v>
                </c:pt>
                <c:pt idx="121">
                  <c:v>2.42</c:v>
                </c:pt>
                <c:pt idx="122">
                  <c:v>2.44</c:v>
                </c:pt>
                <c:pt idx="123">
                  <c:v>2.46</c:v>
                </c:pt>
                <c:pt idx="124">
                  <c:v>2.48</c:v>
                </c:pt>
                <c:pt idx="125">
                  <c:v>2.5</c:v>
                </c:pt>
                <c:pt idx="126">
                  <c:v>2.52</c:v>
                </c:pt>
                <c:pt idx="127">
                  <c:v>2.54</c:v>
                </c:pt>
                <c:pt idx="128">
                  <c:v>2.56</c:v>
                </c:pt>
                <c:pt idx="129">
                  <c:v>2.58</c:v>
                </c:pt>
                <c:pt idx="130">
                  <c:v>2.6</c:v>
                </c:pt>
                <c:pt idx="131">
                  <c:v>2.62</c:v>
                </c:pt>
                <c:pt idx="132">
                  <c:v>2.64</c:v>
                </c:pt>
                <c:pt idx="133">
                  <c:v>2.66</c:v>
                </c:pt>
                <c:pt idx="134">
                  <c:v>2.68</c:v>
                </c:pt>
                <c:pt idx="135">
                  <c:v>2.7</c:v>
                </c:pt>
                <c:pt idx="136">
                  <c:v>2.72</c:v>
                </c:pt>
                <c:pt idx="137">
                  <c:v>2.74</c:v>
                </c:pt>
                <c:pt idx="138">
                  <c:v>2.76</c:v>
                </c:pt>
                <c:pt idx="139">
                  <c:v>2.78</c:v>
                </c:pt>
                <c:pt idx="140">
                  <c:v>2.8</c:v>
                </c:pt>
                <c:pt idx="141">
                  <c:v>2.82</c:v>
                </c:pt>
                <c:pt idx="142">
                  <c:v>2.84</c:v>
                </c:pt>
                <c:pt idx="143">
                  <c:v>2.86</c:v>
                </c:pt>
                <c:pt idx="144">
                  <c:v>2.88</c:v>
                </c:pt>
                <c:pt idx="145">
                  <c:v>2.9</c:v>
                </c:pt>
                <c:pt idx="146">
                  <c:v>2.92</c:v>
                </c:pt>
                <c:pt idx="147">
                  <c:v>2.94</c:v>
                </c:pt>
                <c:pt idx="148">
                  <c:v>2.96</c:v>
                </c:pt>
                <c:pt idx="149">
                  <c:v>2.98</c:v>
                </c:pt>
                <c:pt idx="150">
                  <c:v>3</c:v>
                </c:pt>
              </c:numCache>
            </c:numRef>
          </c:xVal>
          <c:yVal>
            <c:numRef>
              <c:f>Eff_vs_IOUT!$AO$7:$AO$157</c:f>
              <c:numCache>
                <c:formatCode>General</c:formatCode>
                <c:ptCount val="151"/>
                <c:pt idx="0">
                  <c:v>0</c:v>
                </c:pt>
                <c:pt idx="1">
                  <c:v>0.00052590085424733</c:v>
                </c:pt>
                <c:pt idx="2">
                  <c:v>0.00058896447467876</c:v>
                </c:pt>
                <c:pt idx="3">
                  <c:v>0.00108896447467876</c:v>
                </c:pt>
                <c:pt idx="4">
                  <c:v>0.00178896447467876</c:v>
                </c:pt>
                <c:pt idx="5">
                  <c:v>0.00268896447467876</c:v>
                </c:pt>
                <c:pt idx="6">
                  <c:v>0.00378896447467876</c:v>
                </c:pt>
                <c:pt idx="7">
                  <c:v>0.00508896447467876</c:v>
                </c:pt>
                <c:pt idx="8">
                  <c:v>0.00658896447467876</c:v>
                </c:pt>
                <c:pt idx="9">
                  <c:v>0.00828896447467876</c:v>
                </c:pt>
                <c:pt idx="10">
                  <c:v>0.0101889644746788</c:v>
                </c:pt>
                <c:pt idx="11">
                  <c:v>0.0122889644746788</c:v>
                </c:pt>
                <c:pt idx="12">
                  <c:v>0.0145889644746788</c:v>
                </c:pt>
                <c:pt idx="13">
                  <c:v>0.0170889644746788</c:v>
                </c:pt>
                <c:pt idx="14">
                  <c:v>0.0197889644746788</c:v>
                </c:pt>
                <c:pt idx="15">
                  <c:v>0.0226889644746788</c:v>
                </c:pt>
                <c:pt idx="16">
                  <c:v>0.0257889644746788</c:v>
                </c:pt>
                <c:pt idx="17">
                  <c:v>0.0290889644746788</c:v>
                </c:pt>
                <c:pt idx="18">
                  <c:v>0.0325889644746788</c:v>
                </c:pt>
                <c:pt idx="19">
                  <c:v>0.0362889644746788</c:v>
                </c:pt>
                <c:pt idx="20">
                  <c:v>0.0401889644746788</c:v>
                </c:pt>
                <c:pt idx="21">
                  <c:v>0.0442889644746788</c:v>
                </c:pt>
                <c:pt idx="22">
                  <c:v>0.0485889644746788</c:v>
                </c:pt>
                <c:pt idx="23">
                  <c:v>0.0530889644746788</c:v>
                </c:pt>
                <c:pt idx="24">
                  <c:v>0.0577889644746788</c:v>
                </c:pt>
                <c:pt idx="25">
                  <c:v>0.0626889644746788</c:v>
                </c:pt>
                <c:pt idx="26">
                  <c:v>0.0677889644746788</c:v>
                </c:pt>
                <c:pt idx="27">
                  <c:v>0.0730889644746788</c:v>
                </c:pt>
                <c:pt idx="28">
                  <c:v>0.0785889644746788</c:v>
                </c:pt>
                <c:pt idx="29">
                  <c:v>0.0842889644746788</c:v>
                </c:pt>
                <c:pt idx="30">
                  <c:v>0.0901889644746788</c:v>
                </c:pt>
                <c:pt idx="31">
                  <c:v>0.0962889644746788</c:v>
                </c:pt>
                <c:pt idx="32">
                  <c:v>0.102588964474679</c:v>
                </c:pt>
                <c:pt idx="33">
                  <c:v>0.109088964474679</c:v>
                </c:pt>
                <c:pt idx="34">
                  <c:v>0.115788964474679</c:v>
                </c:pt>
                <c:pt idx="35">
                  <c:v>0.122688964474679</c:v>
                </c:pt>
                <c:pt idx="36">
                  <c:v>0.129788964474679</c:v>
                </c:pt>
                <c:pt idx="37">
                  <c:v>0.137088964474679</c:v>
                </c:pt>
                <c:pt idx="38">
                  <c:v>0.144588964474679</c:v>
                </c:pt>
                <c:pt idx="39">
                  <c:v>0.152288964474679</c:v>
                </c:pt>
                <c:pt idx="40">
                  <c:v>0.160188964474679</c:v>
                </c:pt>
                <c:pt idx="41">
                  <c:v>0.168288964474679</c:v>
                </c:pt>
                <c:pt idx="42">
                  <c:v>0.176588964474679</c:v>
                </c:pt>
                <c:pt idx="43">
                  <c:v>0.185088964474679</c:v>
                </c:pt>
                <c:pt idx="44">
                  <c:v>0.193788964474679</c:v>
                </c:pt>
                <c:pt idx="45">
                  <c:v>0.202688964474679</c:v>
                </c:pt>
                <c:pt idx="46">
                  <c:v>0.211788964474679</c:v>
                </c:pt>
                <c:pt idx="47">
                  <c:v>0.221088964474679</c:v>
                </c:pt>
                <c:pt idx="48">
                  <c:v>0.230588964474679</c:v>
                </c:pt>
                <c:pt idx="49">
                  <c:v>0.240288964474679</c:v>
                </c:pt>
                <c:pt idx="50">
                  <c:v>0.250188964474679</c:v>
                </c:pt>
                <c:pt idx="51">
                  <c:v>0.260288964474679</c:v>
                </c:pt>
                <c:pt idx="52">
                  <c:v>0.270588964474679</c:v>
                </c:pt>
                <c:pt idx="53">
                  <c:v>0.281088964474679</c:v>
                </c:pt>
                <c:pt idx="54">
                  <c:v>0.291788964474679</c:v>
                </c:pt>
                <c:pt idx="55">
                  <c:v>0.302688964474679</c:v>
                </c:pt>
                <c:pt idx="56">
                  <c:v>0.313788964474679</c:v>
                </c:pt>
                <c:pt idx="57">
                  <c:v>0.325088964474679</c:v>
                </c:pt>
                <c:pt idx="58">
                  <c:v>0.336588964474679</c:v>
                </c:pt>
                <c:pt idx="59">
                  <c:v>0.348288964474679</c:v>
                </c:pt>
                <c:pt idx="60">
                  <c:v>0.360188964474679</c:v>
                </c:pt>
                <c:pt idx="61">
                  <c:v>0.372288964474679</c:v>
                </c:pt>
                <c:pt idx="62">
                  <c:v>0.384588964474679</c:v>
                </c:pt>
                <c:pt idx="63">
                  <c:v>0.397088964474679</c:v>
                </c:pt>
                <c:pt idx="64">
                  <c:v>0.409788964474679</c:v>
                </c:pt>
                <c:pt idx="65">
                  <c:v>0.422688964474679</c:v>
                </c:pt>
                <c:pt idx="66">
                  <c:v>0.435788964474679</c:v>
                </c:pt>
                <c:pt idx="67">
                  <c:v>0.449088964474679</c:v>
                </c:pt>
                <c:pt idx="68">
                  <c:v>0.462588964474679</c:v>
                </c:pt>
                <c:pt idx="69">
                  <c:v>0.476288964474679</c:v>
                </c:pt>
                <c:pt idx="70">
                  <c:v>0.490188964474679</c:v>
                </c:pt>
                <c:pt idx="71">
                  <c:v>0.504288964474679</c:v>
                </c:pt>
                <c:pt idx="72">
                  <c:v>0.518588964474679</c:v>
                </c:pt>
                <c:pt idx="73">
                  <c:v>0.533088964474679</c:v>
                </c:pt>
                <c:pt idx="74">
                  <c:v>0.547788964474679</c:v>
                </c:pt>
                <c:pt idx="75">
                  <c:v>0.562688964474679</c:v>
                </c:pt>
                <c:pt idx="76">
                  <c:v>0.577788964474679</c:v>
                </c:pt>
                <c:pt idx="77">
                  <c:v>0.593088964474679</c:v>
                </c:pt>
                <c:pt idx="78">
                  <c:v>0.608588964474679</c:v>
                </c:pt>
                <c:pt idx="79">
                  <c:v>0.624288964474679</c:v>
                </c:pt>
                <c:pt idx="80">
                  <c:v>0.640188964474679</c:v>
                </c:pt>
                <c:pt idx="81">
                  <c:v>0.656288964474679</c:v>
                </c:pt>
                <c:pt idx="82">
                  <c:v>0.672588964474679</c:v>
                </c:pt>
                <c:pt idx="83">
                  <c:v>0.689088964474679</c:v>
                </c:pt>
                <c:pt idx="84">
                  <c:v>0.705788964474679</c:v>
                </c:pt>
                <c:pt idx="85">
                  <c:v>0.722688964474679</c:v>
                </c:pt>
                <c:pt idx="86">
                  <c:v>0.739788964474679</c:v>
                </c:pt>
                <c:pt idx="87">
                  <c:v>0.757088964474679</c:v>
                </c:pt>
                <c:pt idx="88">
                  <c:v>0.774588964474679</c:v>
                </c:pt>
                <c:pt idx="89">
                  <c:v>0.792288964474679</c:v>
                </c:pt>
                <c:pt idx="90">
                  <c:v>0.810188964474679</c:v>
                </c:pt>
                <c:pt idx="91">
                  <c:v>0.828288964474679</c:v>
                </c:pt>
                <c:pt idx="92">
                  <c:v>0.846588964474679</c:v>
                </c:pt>
                <c:pt idx="93">
                  <c:v>0.865088964474679</c:v>
                </c:pt>
                <c:pt idx="94">
                  <c:v>0.883788964474679</c:v>
                </c:pt>
                <c:pt idx="95">
                  <c:v>0.902688964474679</c:v>
                </c:pt>
                <c:pt idx="96">
                  <c:v>0.921788964474679</c:v>
                </c:pt>
                <c:pt idx="97">
                  <c:v>0.941088964474679</c:v>
                </c:pt>
                <c:pt idx="98">
                  <c:v>0.960588964474679</c:v>
                </c:pt>
                <c:pt idx="99">
                  <c:v>0.980288964474679</c:v>
                </c:pt>
                <c:pt idx="100">
                  <c:v>1.00018896447468</c:v>
                </c:pt>
                <c:pt idx="101">
                  <c:v>1.02028896447468</c:v>
                </c:pt>
                <c:pt idx="102">
                  <c:v>1.04058896447468</c:v>
                </c:pt>
                <c:pt idx="103">
                  <c:v>1.06108896447468</c:v>
                </c:pt>
                <c:pt idx="104">
                  <c:v>1.08178896447468</c:v>
                </c:pt>
                <c:pt idx="105">
                  <c:v>1.10268896447468</c:v>
                </c:pt>
                <c:pt idx="106">
                  <c:v>1.12378896447468</c:v>
                </c:pt>
                <c:pt idx="107">
                  <c:v>1.14508896447468</c:v>
                </c:pt>
                <c:pt idx="108">
                  <c:v>1.16658896447468</c:v>
                </c:pt>
                <c:pt idx="109">
                  <c:v>1.18828896447468</c:v>
                </c:pt>
                <c:pt idx="110">
                  <c:v>1.21018896447468</c:v>
                </c:pt>
                <c:pt idx="111">
                  <c:v>1.23228896447468</c:v>
                </c:pt>
                <c:pt idx="112">
                  <c:v>1.25458896447468</c:v>
                </c:pt>
                <c:pt idx="113">
                  <c:v>1.27708896447468</c:v>
                </c:pt>
                <c:pt idx="114">
                  <c:v>1.29978896447468</c:v>
                </c:pt>
                <c:pt idx="115">
                  <c:v>1.32268896447468</c:v>
                </c:pt>
                <c:pt idx="116">
                  <c:v>1.34578896447468</c:v>
                </c:pt>
                <c:pt idx="117">
                  <c:v>1.36908896447468</c:v>
                </c:pt>
                <c:pt idx="118">
                  <c:v>1.39258896447468</c:v>
                </c:pt>
                <c:pt idx="119">
                  <c:v>1.41628896447468</c:v>
                </c:pt>
                <c:pt idx="120">
                  <c:v>1.44018896447468</c:v>
                </c:pt>
                <c:pt idx="121">
                  <c:v>1.46428896447468</c:v>
                </c:pt>
                <c:pt idx="122">
                  <c:v>1.48858896447468</c:v>
                </c:pt>
                <c:pt idx="123">
                  <c:v>1.51308896447468</c:v>
                </c:pt>
                <c:pt idx="124">
                  <c:v>1.53778896447468</c:v>
                </c:pt>
                <c:pt idx="125">
                  <c:v>1.56268896447468</c:v>
                </c:pt>
                <c:pt idx="126">
                  <c:v>1.58778896447468</c:v>
                </c:pt>
                <c:pt idx="127">
                  <c:v>1.61308896447468</c:v>
                </c:pt>
                <c:pt idx="128">
                  <c:v>1.63858896447468</c:v>
                </c:pt>
                <c:pt idx="129">
                  <c:v>1.66428896447468</c:v>
                </c:pt>
                <c:pt idx="130">
                  <c:v>1.69018896447468</c:v>
                </c:pt>
                <c:pt idx="131">
                  <c:v>1.71628896447468</c:v>
                </c:pt>
                <c:pt idx="132">
                  <c:v>1.74258896447468</c:v>
                </c:pt>
                <c:pt idx="133">
                  <c:v>1.76908896447468</c:v>
                </c:pt>
                <c:pt idx="134">
                  <c:v>1.79578896447468</c:v>
                </c:pt>
                <c:pt idx="135">
                  <c:v>1.82268896447468</c:v>
                </c:pt>
                <c:pt idx="136">
                  <c:v>1.84978896447468</c:v>
                </c:pt>
                <c:pt idx="137">
                  <c:v>1.87708896447468</c:v>
                </c:pt>
                <c:pt idx="138">
                  <c:v>1.90458896447468</c:v>
                </c:pt>
                <c:pt idx="139">
                  <c:v>1.93228896447468</c:v>
                </c:pt>
                <c:pt idx="140">
                  <c:v>1.96018896447468</c:v>
                </c:pt>
                <c:pt idx="141">
                  <c:v>1.98828896447468</c:v>
                </c:pt>
                <c:pt idx="142">
                  <c:v>2.01658896447468</c:v>
                </c:pt>
                <c:pt idx="143">
                  <c:v>2.04508896447468</c:v>
                </c:pt>
                <c:pt idx="144">
                  <c:v>2.07378896447468</c:v>
                </c:pt>
                <c:pt idx="145">
                  <c:v>2.10268896447468</c:v>
                </c:pt>
                <c:pt idx="146">
                  <c:v>2.13178896447468</c:v>
                </c:pt>
                <c:pt idx="147">
                  <c:v>2.16108896447468</c:v>
                </c:pt>
                <c:pt idx="148">
                  <c:v>2.19058896447468</c:v>
                </c:pt>
                <c:pt idx="149">
                  <c:v>2.22028896447468</c:v>
                </c:pt>
                <c:pt idx="150">
                  <c:v>2.25018896447468</c:v>
                </c:pt>
              </c:numCache>
            </c:numRef>
          </c:yVal>
          <c:smooth val="1"/>
        </c:ser>
        <c:dLbls>
          <c:showLegendKey val="0"/>
          <c:showVal val="0"/>
          <c:showCatName val="0"/>
          <c:showSerName val="0"/>
          <c:showPercent val="0"/>
          <c:showBubbleSize val="0"/>
        </c:dLbls>
        <c:axId val="174879488"/>
        <c:axId val="174877312"/>
      </c:scatterChart>
      <c:valAx>
        <c:axId val="174861312"/>
        <c:scaling>
          <c:orientation val="minMax"/>
        </c:scaling>
        <c:delete val="0"/>
        <c:axPos val="b"/>
        <c:majorGridlines/>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4875392"/>
        <c:crosses val="autoZero"/>
        <c:crossBetween val="midCat"/>
      </c:valAx>
      <c:valAx>
        <c:axId val="174875392"/>
        <c:scaling>
          <c:orientation val="minMax"/>
          <c:max val="100"/>
          <c:min val="60"/>
        </c:scaling>
        <c:delete val="0"/>
        <c:axPos val="l"/>
        <c:majorGridlines/>
        <c:title>
          <c:tx>
            <c:rich>
              <a:bodyPr rot="-5400000" spcFirstLastPara="0" vertOverflow="ellipsis" vert="horz" wrap="square" anchor="ctr" anchorCtr="1"/>
              <a:lstStyle/>
              <a:p>
                <a:pPr>
                  <a:defRPr lang="pl-PL" sz="1400" b="1" i="0" u="none" strike="noStrike" kern="1200" baseline="0">
                    <a:solidFill>
                      <a:schemeClr val="tx1"/>
                    </a:solidFill>
                    <a:latin typeface="+mn-lt"/>
                    <a:ea typeface="+mn-ea"/>
                    <a:cs typeface="+mn-cs"/>
                  </a:defRPr>
                </a:pPr>
                <a:r>
                  <a:rPr lang="en-US" sz="1400"/>
                  <a:t>Efficiency</a:t>
                </a:r>
                <a:r>
                  <a:rPr lang="en-US" sz="1400" baseline="0"/>
                  <a:t> (%)</a:t>
                </a:r>
                <a:endParaRPr lang="en-US" sz="1400"/>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4861312"/>
        <c:crosses val="autoZero"/>
        <c:crossBetween val="midCat"/>
      </c:valAx>
      <c:valAx>
        <c:axId val="174879488"/>
        <c:scaling>
          <c:orientation val="minMax"/>
        </c:scaling>
        <c:delete val="1"/>
        <c:axPos val="b"/>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Loac</a:t>
                </a:r>
                <a:r>
                  <a:rPr lang="en-US" baseline="0"/>
                  <a:t> Current (A)</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4877312"/>
        <c:crosses val="autoZero"/>
        <c:crossBetween val="midCat"/>
      </c:valAx>
      <c:valAx>
        <c:axId val="174877312"/>
        <c:scaling>
          <c:orientation val="minMax"/>
        </c:scaling>
        <c:delete val="0"/>
        <c:axPos val="r"/>
        <c:title>
          <c:tx>
            <c:rich>
              <a:bodyPr rot="-5400000" spcFirstLastPara="0" vertOverflow="ellipsis" vert="horz" wrap="square" anchor="ctr" anchorCtr="1"/>
              <a:lstStyle/>
              <a:p>
                <a:pPr>
                  <a:defRPr lang="pl-PL" sz="1400" b="1" i="0" u="none" strike="noStrike" kern="1200" baseline="0">
                    <a:solidFill>
                      <a:schemeClr val="tx1"/>
                    </a:solidFill>
                    <a:latin typeface="+mn-lt"/>
                    <a:ea typeface="+mn-ea"/>
                    <a:cs typeface="+mn-cs"/>
                  </a:defRPr>
                </a:pPr>
                <a:r>
                  <a:rPr lang="en-US" sz="1400"/>
                  <a:t>Losses</a:t>
                </a:r>
                <a:r>
                  <a:rPr lang="en-US" sz="1400" baseline="0"/>
                  <a:t> (W)</a:t>
                </a:r>
                <a:endParaRPr lang="en-US" sz="1400"/>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4879488"/>
        <c:crosses val="max"/>
        <c:crossBetween val="midCat"/>
      </c:valAx>
    </c:plotArea>
    <c:legend>
      <c:legendPos val="r"/>
      <c:layout>
        <c:manualLayout>
          <c:xMode val="edge"/>
          <c:yMode val="edge"/>
          <c:x val="0.518944039261904"/>
          <c:y val="0.00648622047244094"/>
          <c:w val="0.396095729357041"/>
          <c:h val="0.121836530997006"/>
        </c:manualLayout>
      </c:layout>
      <c:overlay val="1"/>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2cd760a-0aef-445a-9430-01ae95e28fab}"/>
      </c:ext>
    </c:extLst>
  </c:chart>
  <c:spPr>
    <a:ln w="9525" cap="flat" cmpd="sng" algn="ctr">
      <a:noFill/>
      <a:prstDash val="solid"/>
      <a:round/>
    </a:ln>
  </c:spPr>
  <c:txPr>
    <a:bodyPr/>
    <a:lstStyle/>
    <a:p>
      <a:pPr>
        <a:defRPr lang="pl-PL"/>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a:t>Efficiency</a:t>
            </a:r>
            <a:endParaRPr lang="en-US"/>
          </a:p>
        </c:rich>
      </c:tx>
      <c:layout/>
      <c:overlay val="0"/>
    </c:title>
    <c:autoTitleDeleted val="0"/>
    <c:plotArea>
      <c:layout/>
      <c:scatterChart>
        <c:scatterStyle val="smooth"/>
        <c:varyColors val="0"/>
        <c:ser>
          <c:idx val="0"/>
          <c:order val="0"/>
          <c:tx>
            <c:strRef>
              <c:f>"Eff"</c:f>
              <c:strCache>
                <c:ptCount val="1"/>
                <c:pt idx="0">
                  <c:v>Eff</c:v>
                </c:pt>
              </c:strCache>
            </c:strRef>
          </c:tx>
          <c:marker>
            <c:symbol val="none"/>
          </c:marker>
          <c:dLbls>
            <c:delete val="1"/>
          </c:dLbls>
          <c:xVal>
            <c:numRef>
              <c:f>Eff_vs_IOUT!$S$7:$S$157</c:f>
              <c:numCache>
                <c:formatCode>General</c:formatCode>
                <c:ptCount val="151"/>
                <c:pt idx="0">
                  <c:v>0</c:v>
                </c:pt>
                <c:pt idx="1">
                  <c:v>0.02</c:v>
                </c:pt>
                <c:pt idx="2">
                  <c:v>0.04</c:v>
                </c:pt>
                <c:pt idx="3">
                  <c:v>0.06</c:v>
                </c:pt>
                <c:pt idx="4">
                  <c:v>0.08</c:v>
                </c:pt>
                <c:pt idx="5">
                  <c:v>0.1</c:v>
                </c:pt>
                <c:pt idx="6">
                  <c:v>0.12</c:v>
                </c:pt>
                <c:pt idx="7">
                  <c:v>0.14</c:v>
                </c:pt>
                <c:pt idx="8">
                  <c:v>0.16</c:v>
                </c:pt>
                <c:pt idx="9">
                  <c:v>0.18</c:v>
                </c:pt>
                <c:pt idx="10">
                  <c:v>0.2</c:v>
                </c:pt>
                <c:pt idx="11">
                  <c:v>0.22</c:v>
                </c:pt>
                <c:pt idx="12">
                  <c:v>0.24</c:v>
                </c:pt>
                <c:pt idx="13">
                  <c:v>0.26</c:v>
                </c:pt>
                <c:pt idx="14">
                  <c:v>0.28</c:v>
                </c:pt>
                <c:pt idx="15">
                  <c:v>0.3</c:v>
                </c:pt>
                <c:pt idx="16">
                  <c:v>0.32</c:v>
                </c:pt>
                <c:pt idx="17">
                  <c:v>0.34</c:v>
                </c:pt>
                <c:pt idx="18">
                  <c:v>0.36</c:v>
                </c:pt>
                <c:pt idx="19">
                  <c:v>0.38</c:v>
                </c:pt>
                <c:pt idx="20">
                  <c:v>0.4</c:v>
                </c:pt>
                <c:pt idx="21">
                  <c:v>0.42</c:v>
                </c:pt>
                <c:pt idx="22">
                  <c:v>0.44</c:v>
                </c:pt>
                <c:pt idx="23">
                  <c:v>0.46</c:v>
                </c:pt>
                <c:pt idx="24">
                  <c:v>0.48</c:v>
                </c:pt>
                <c:pt idx="25">
                  <c:v>0.5</c:v>
                </c:pt>
                <c:pt idx="26">
                  <c:v>0.52</c:v>
                </c:pt>
                <c:pt idx="27">
                  <c:v>0.54</c:v>
                </c:pt>
                <c:pt idx="28">
                  <c:v>0.56</c:v>
                </c:pt>
                <c:pt idx="29">
                  <c:v>0.58</c:v>
                </c:pt>
                <c:pt idx="30">
                  <c:v>0.6</c:v>
                </c:pt>
                <c:pt idx="31">
                  <c:v>0.62</c:v>
                </c:pt>
                <c:pt idx="32">
                  <c:v>0.64</c:v>
                </c:pt>
                <c:pt idx="33">
                  <c:v>0.66</c:v>
                </c:pt>
                <c:pt idx="34">
                  <c:v>0.68</c:v>
                </c:pt>
                <c:pt idx="35">
                  <c:v>0.7</c:v>
                </c:pt>
                <c:pt idx="36">
                  <c:v>0.72</c:v>
                </c:pt>
                <c:pt idx="37">
                  <c:v>0.74</c:v>
                </c:pt>
                <c:pt idx="38">
                  <c:v>0.76</c:v>
                </c:pt>
                <c:pt idx="39">
                  <c:v>0.78</c:v>
                </c:pt>
                <c:pt idx="40">
                  <c:v>0.8</c:v>
                </c:pt>
                <c:pt idx="41">
                  <c:v>0.82</c:v>
                </c:pt>
                <c:pt idx="42">
                  <c:v>0.84</c:v>
                </c:pt>
                <c:pt idx="43">
                  <c:v>0.86</c:v>
                </c:pt>
                <c:pt idx="44">
                  <c:v>0.88</c:v>
                </c:pt>
                <c:pt idx="45">
                  <c:v>0.9</c:v>
                </c:pt>
                <c:pt idx="46">
                  <c:v>0.92</c:v>
                </c:pt>
                <c:pt idx="47">
                  <c:v>0.94</c:v>
                </c:pt>
                <c:pt idx="48">
                  <c:v>0.96</c:v>
                </c:pt>
                <c:pt idx="49">
                  <c:v>0.98</c:v>
                </c:pt>
                <c:pt idx="50">
                  <c:v>1</c:v>
                </c:pt>
                <c:pt idx="51">
                  <c:v>1.02</c:v>
                </c:pt>
                <c:pt idx="52">
                  <c:v>1.04</c:v>
                </c:pt>
                <c:pt idx="53">
                  <c:v>1.06</c:v>
                </c:pt>
                <c:pt idx="54">
                  <c:v>1.08</c:v>
                </c:pt>
                <c:pt idx="55">
                  <c:v>1.1</c:v>
                </c:pt>
                <c:pt idx="56">
                  <c:v>1.12</c:v>
                </c:pt>
                <c:pt idx="57">
                  <c:v>1.14</c:v>
                </c:pt>
                <c:pt idx="58">
                  <c:v>1.16</c:v>
                </c:pt>
                <c:pt idx="59">
                  <c:v>1.18</c:v>
                </c:pt>
                <c:pt idx="60">
                  <c:v>1.2</c:v>
                </c:pt>
                <c:pt idx="61">
                  <c:v>1.22</c:v>
                </c:pt>
                <c:pt idx="62">
                  <c:v>1.24</c:v>
                </c:pt>
                <c:pt idx="63">
                  <c:v>1.26</c:v>
                </c:pt>
                <c:pt idx="64">
                  <c:v>1.28</c:v>
                </c:pt>
                <c:pt idx="65">
                  <c:v>1.3</c:v>
                </c:pt>
                <c:pt idx="66">
                  <c:v>1.32</c:v>
                </c:pt>
                <c:pt idx="67">
                  <c:v>1.34</c:v>
                </c:pt>
                <c:pt idx="68">
                  <c:v>1.36</c:v>
                </c:pt>
                <c:pt idx="69">
                  <c:v>1.38</c:v>
                </c:pt>
                <c:pt idx="70">
                  <c:v>1.4</c:v>
                </c:pt>
                <c:pt idx="71">
                  <c:v>1.42</c:v>
                </c:pt>
                <c:pt idx="72">
                  <c:v>1.44</c:v>
                </c:pt>
                <c:pt idx="73">
                  <c:v>1.46</c:v>
                </c:pt>
                <c:pt idx="74">
                  <c:v>1.48</c:v>
                </c:pt>
                <c:pt idx="75">
                  <c:v>1.5</c:v>
                </c:pt>
                <c:pt idx="76">
                  <c:v>1.52</c:v>
                </c:pt>
                <c:pt idx="77">
                  <c:v>1.54</c:v>
                </c:pt>
                <c:pt idx="78">
                  <c:v>1.56</c:v>
                </c:pt>
                <c:pt idx="79">
                  <c:v>1.58</c:v>
                </c:pt>
                <c:pt idx="80">
                  <c:v>1.6</c:v>
                </c:pt>
                <c:pt idx="81">
                  <c:v>1.62</c:v>
                </c:pt>
                <c:pt idx="82">
                  <c:v>1.64</c:v>
                </c:pt>
                <c:pt idx="83">
                  <c:v>1.66</c:v>
                </c:pt>
                <c:pt idx="84">
                  <c:v>1.68</c:v>
                </c:pt>
                <c:pt idx="85">
                  <c:v>1.7</c:v>
                </c:pt>
                <c:pt idx="86">
                  <c:v>1.72</c:v>
                </c:pt>
                <c:pt idx="87">
                  <c:v>1.74</c:v>
                </c:pt>
                <c:pt idx="88">
                  <c:v>1.76</c:v>
                </c:pt>
                <c:pt idx="89">
                  <c:v>1.78</c:v>
                </c:pt>
                <c:pt idx="90">
                  <c:v>1.8</c:v>
                </c:pt>
                <c:pt idx="91">
                  <c:v>1.82</c:v>
                </c:pt>
                <c:pt idx="92">
                  <c:v>1.84</c:v>
                </c:pt>
                <c:pt idx="93">
                  <c:v>1.86</c:v>
                </c:pt>
                <c:pt idx="94">
                  <c:v>1.88</c:v>
                </c:pt>
                <c:pt idx="95">
                  <c:v>1.9</c:v>
                </c:pt>
                <c:pt idx="96">
                  <c:v>1.92</c:v>
                </c:pt>
                <c:pt idx="97">
                  <c:v>1.94</c:v>
                </c:pt>
                <c:pt idx="98">
                  <c:v>1.96</c:v>
                </c:pt>
                <c:pt idx="99">
                  <c:v>1.98</c:v>
                </c:pt>
                <c:pt idx="100">
                  <c:v>2</c:v>
                </c:pt>
                <c:pt idx="101">
                  <c:v>2.02</c:v>
                </c:pt>
                <c:pt idx="102">
                  <c:v>2.04</c:v>
                </c:pt>
                <c:pt idx="103">
                  <c:v>2.06</c:v>
                </c:pt>
                <c:pt idx="104">
                  <c:v>2.08</c:v>
                </c:pt>
                <c:pt idx="105">
                  <c:v>2.1</c:v>
                </c:pt>
                <c:pt idx="106">
                  <c:v>2.12</c:v>
                </c:pt>
                <c:pt idx="107">
                  <c:v>2.14</c:v>
                </c:pt>
                <c:pt idx="108">
                  <c:v>2.16</c:v>
                </c:pt>
                <c:pt idx="109">
                  <c:v>2.18</c:v>
                </c:pt>
                <c:pt idx="110">
                  <c:v>2.2</c:v>
                </c:pt>
                <c:pt idx="111">
                  <c:v>2.22</c:v>
                </c:pt>
                <c:pt idx="112">
                  <c:v>2.24</c:v>
                </c:pt>
                <c:pt idx="113">
                  <c:v>2.26</c:v>
                </c:pt>
                <c:pt idx="114">
                  <c:v>2.28</c:v>
                </c:pt>
                <c:pt idx="115">
                  <c:v>2.3</c:v>
                </c:pt>
                <c:pt idx="116">
                  <c:v>2.32</c:v>
                </c:pt>
                <c:pt idx="117">
                  <c:v>2.34</c:v>
                </c:pt>
                <c:pt idx="118">
                  <c:v>2.36</c:v>
                </c:pt>
                <c:pt idx="119">
                  <c:v>2.38</c:v>
                </c:pt>
                <c:pt idx="120">
                  <c:v>2.4</c:v>
                </c:pt>
                <c:pt idx="121">
                  <c:v>2.42</c:v>
                </c:pt>
                <c:pt idx="122">
                  <c:v>2.44</c:v>
                </c:pt>
                <c:pt idx="123">
                  <c:v>2.46</c:v>
                </c:pt>
                <c:pt idx="124">
                  <c:v>2.48</c:v>
                </c:pt>
                <c:pt idx="125">
                  <c:v>2.5</c:v>
                </c:pt>
                <c:pt idx="126">
                  <c:v>2.52</c:v>
                </c:pt>
                <c:pt idx="127">
                  <c:v>2.54</c:v>
                </c:pt>
                <c:pt idx="128">
                  <c:v>2.56</c:v>
                </c:pt>
                <c:pt idx="129">
                  <c:v>2.58</c:v>
                </c:pt>
                <c:pt idx="130">
                  <c:v>2.6</c:v>
                </c:pt>
                <c:pt idx="131">
                  <c:v>2.62</c:v>
                </c:pt>
                <c:pt idx="132">
                  <c:v>2.64</c:v>
                </c:pt>
                <c:pt idx="133">
                  <c:v>2.66</c:v>
                </c:pt>
                <c:pt idx="134">
                  <c:v>2.68</c:v>
                </c:pt>
                <c:pt idx="135">
                  <c:v>2.7</c:v>
                </c:pt>
                <c:pt idx="136">
                  <c:v>2.72</c:v>
                </c:pt>
                <c:pt idx="137">
                  <c:v>2.74</c:v>
                </c:pt>
                <c:pt idx="138">
                  <c:v>2.76</c:v>
                </c:pt>
                <c:pt idx="139">
                  <c:v>2.78</c:v>
                </c:pt>
                <c:pt idx="140">
                  <c:v>2.8</c:v>
                </c:pt>
                <c:pt idx="141">
                  <c:v>2.82</c:v>
                </c:pt>
                <c:pt idx="142">
                  <c:v>2.84</c:v>
                </c:pt>
                <c:pt idx="143">
                  <c:v>2.86</c:v>
                </c:pt>
                <c:pt idx="144">
                  <c:v>2.88</c:v>
                </c:pt>
                <c:pt idx="145">
                  <c:v>2.9</c:v>
                </c:pt>
                <c:pt idx="146">
                  <c:v>2.92</c:v>
                </c:pt>
                <c:pt idx="147">
                  <c:v>2.94</c:v>
                </c:pt>
                <c:pt idx="148">
                  <c:v>2.96</c:v>
                </c:pt>
                <c:pt idx="149">
                  <c:v>2.98</c:v>
                </c:pt>
                <c:pt idx="150">
                  <c:v>3</c:v>
                </c:pt>
              </c:numCache>
            </c:numRef>
          </c:xVal>
          <c:yVal>
            <c:numRef>
              <c:f>Eff_vs_IOUT!$AT$7:$AT$157</c:f>
              <c:numCache>
                <c:formatCode>General</c:formatCode>
                <c:ptCount val="151"/>
                <c:pt idx="0">
                  <c:v>0</c:v>
                </c:pt>
                <c:pt idx="1">
                  <c:v>78.0486469636518</c:v>
                </c:pt>
                <c:pt idx="2">
                  <c:v>85.5298920032623</c:v>
                </c:pt>
                <c:pt idx="3">
                  <c:v>88.3003204952773</c:v>
                </c:pt>
                <c:pt idx="4">
                  <c:v>89.7353210406825</c:v>
                </c:pt>
                <c:pt idx="5">
                  <c:v>90.6037404377404</c:v>
                </c:pt>
                <c:pt idx="6">
                  <c:v>91.179266630741</c:v>
                </c:pt>
                <c:pt idx="7">
                  <c:v>91.5837687405149</c:v>
                </c:pt>
                <c:pt idx="8">
                  <c:v>91.8797465080312</c:v>
                </c:pt>
                <c:pt idx="9">
                  <c:v>92.1025580417021</c:v>
                </c:pt>
                <c:pt idx="10">
                  <c:v>92.2737103228357</c:v>
                </c:pt>
                <c:pt idx="11">
                  <c:v>92.4070367266518</c:v>
                </c:pt>
                <c:pt idx="12">
                  <c:v>92.5118391328143</c:v>
                </c:pt>
                <c:pt idx="13">
                  <c:v>92.5946029834501</c:v>
                </c:pt>
                <c:pt idx="14">
                  <c:v>92.659988225142</c:v>
                </c:pt>
                <c:pt idx="15">
                  <c:v>92.7114293701846</c:v>
                </c:pt>
                <c:pt idx="16">
                  <c:v>92.7515134625106</c:v>
                </c:pt>
                <c:pt idx="17">
                  <c:v>92.7822262786211</c:v>
                </c:pt>
                <c:pt idx="18">
                  <c:v>92.8051174120026</c:v>
                </c:pt>
                <c:pt idx="19">
                  <c:v>92.8214137979627</c:v>
                </c:pt>
                <c:pt idx="20">
                  <c:v>92.8320995364211</c:v>
                </c:pt>
                <c:pt idx="21">
                  <c:v>92.8379731349652</c:v>
                </c:pt>
                <c:pt idx="22">
                  <c:v>92.8396892884093</c:v>
                </c:pt>
                <c:pt idx="23">
                  <c:v>92.8377898583748</c:v>
                </c:pt>
                <c:pt idx="24">
                  <c:v>92.8327271754436</c:v>
                </c:pt>
                <c:pt idx="25">
                  <c:v>92.8248817955809</c:v>
                </c:pt>
                <c:pt idx="26">
                  <c:v>92.8145761918948</c:v>
                </c:pt>
                <c:pt idx="27">
                  <c:v>92.8020854273647</c:v>
                </c:pt>
                <c:pt idx="28">
                  <c:v>92.7876455576559</c:v>
                </c:pt>
                <c:pt idx="29">
                  <c:v>92.7714603079724</c:v>
                </c:pt>
                <c:pt idx="30">
                  <c:v>92.7537064238619</c:v>
                </c:pt>
                <c:pt idx="31">
                  <c:v>92.7345379933797</c:v>
                </c:pt>
                <c:pt idx="32">
                  <c:v>92.7140899641533</c:v>
                </c:pt>
                <c:pt idx="33">
                  <c:v>92.6924810250413</c:v>
                </c:pt>
                <c:pt idx="34">
                  <c:v>92.6698159823996</c:v>
                </c:pt>
                <c:pt idx="35">
                  <c:v>92.6461877314277</c:v>
                </c:pt>
                <c:pt idx="36">
                  <c:v>92.6216789008709</c:v>
                </c:pt>
                <c:pt idx="37">
                  <c:v>92.5963632325255</c:v>
                </c:pt>
                <c:pt idx="38">
                  <c:v>92.5703067441301</c:v>
                </c:pt>
                <c:pt idx="39">
                  <c:v>92.5435687143122</c:v>
                </c:pt>
                <c:pt idx="40">
                  <c:v>92.5162025205687</c:v>
                </c:pt>
                <c:pt idx="41">
                  <c:v>92.4882563552412</c:v>
                </c:pt>
                <c:pt idx="42">
                  <c:v>92.4597738397217</c:v>
                </c:pt>
                <c:pt idx="43">
                  <c:v>92.4307945533727</c:v>
                </c:pt>
                <c:pt idx="44">
                  <c:v>92.4013544906655</c:v>
                </c:pt>
                <c:pt idx="45">
                  <c:v>92.371486457652</c:v>
                </c:pt>
                <c:pt idx="46">
                  <c:v>92.3412204169583</c:v>
                </c:pt>
                <c:pt idx="47">
                  <c:v>92.3105837889328</c:v>
                </c:pt>
                <c:pt idx="48">
                  <c:v>92.2796017153167</c:v>
                </c:pt>
                <c:pt idx="49">
                  <c:v>92.2482972907654</c:v>
                </c:pt>
                <c:pt idx="50">
                  <c:v>92.2166917667046</c:v>
                </c:pt>
                <c:pt idx="51">
                  <c:v>92.1848047313022</c:v>
                </c:pt>
                <c:pt idx="52">
                  <c:v>92.1526542687578</c:v>
                </c:pt>
                <c:pt idx="53">
                  <c:v>92.120257100631</c:v>
                </c:pt>
                <c:pt idx="54">
                  <c:v>92.0876287115278</c:v>
                </c:pt>
                <c:pt idx="55">
                  <c:v>92.0547834611274</c:v>
                </c:pt>
                <c:pt idx="56">
                  <c:v>92.0217346842525</c:v>
                </c:pt>
                <c:pt idx="57">
                  <c:v>91.9884947804431</c:v>
                </c:pt>
                <c:pt idx="58">
                  <c:v>91.9550752942989</c:v>
                </c:pt>
                <c:pt idx="59">
                  <c:v>91.9214869876797</c:v>
                </c:pt>
                <c:pt idx="60">
                  <c:v>91.8877399047111</c:v>
                </c:pt>
                <c:pt idx="61">
                  <c:v>91.8538434304186</c:v>
                </c:pt>
                <c:pt idx="62">
                  <c:v>91.819806343706</c:v>
                </c:pt>
                <c:pt idx="63">
                  <c:v>91.7856368653057</c:v>
                </c:pt>
                <c:pt idx="64">
                  <c:v>91.7513427012482</c:v>
                </c:pt>
                <c:pt idx="65">
                  <c:v>91.7169310823315</c:v>
                </c:pt>
                <c:pt idx="66">
                  <c:v>91.6824088000147</c:v>
                </c:pt>
                <c:pt idx="67">
                  <c:v>91.6477822391067</c:v>
                </c:pt>
                <c:pt idx="68">
                  <c:v>91.6130574075794</c:v>
                </c:pt>
                <c:pt idx="69">
                  <c:v>91.578239963797</c:v>
                </c:pt>
                <c:pt idx="70">
                  <c:v>91.5433352414175</c:v>
                </c:pt>
                <c:pt idx="71">
                  <c:v>91.5083482721971</c:v>
                </c:pt>
                <c:pt idx="72">
                  <c:v>91.4732838068984</c:v>
                </c:pt>
                <c:pt idx="73">
                  <c:v>91.4381463344866</c:v>
                </c:pt>
                <c:pt idx="74">
                  <c:v>91.4029400997726</c:v>
                </c:pt>
                <c:pt idx="75">
                  <c:v>91.3676691196485</c:v>
                </c:pt>
                <c:pt idx="76">
                  <c:v>91.3323371980461</c:v>
                </c:pt>
                <c:pt idx="77">
                  <c:v>91.2969479397315</c:v>
                </c:pt>
                <c:pt idx="78">
                  <c:v>91.2615047630423</c:v>
                </c:pt>
                <c:pt idx="79">
                  <c:v>91.2260109116598</c:v>
                </c:pt>
                <c:pt idx="80">
                  <c:v>91.1904694655008</c:v>
                </c:pt>
                <c:pt idx="81">
                  <c:v>91.1548833508039</c:v>
                </c:pt>
                <c:pt idx="82">
                  <c:v>91.1192553494806</c:v>
                </c:pt>
                <c:pt idx="83">
                  <c:v>91.0835881077918</c:v>
                </c:pt>
                <c:pt idx="84">
                  <c:v>91.0478841444057</c:v>
                </c:pt>
                <c:pt idx="85">
                  <c:v>91.012145857889</c:v>
                </c:pt>
                <c:pt idx="86">
                  <c:v>90.976375533676</c:v>
                </c:pt>
                <c:pt idx="87">
                  <c:v>90.9405753505588</c:v>
                </c:pt>
                <c:pt idx="88">
                  <c:v>90.9047473867359</c:v>
                </c:pt>
                <c:pt idx="89">
                  <c:v>90.8688936254537</c:v>
                </c:pt>
                <c:pt idx="90">
                  <c:v>90.8330159602729</c:v>
                </c:pt>
                <c:pt idx="91">
                  <c:v>90.7971161999888</c:v>
                </c:pt>
                <c:pt idx="92">
                  <c:v>90.7611960732311</c:v>
                </c:pt>
                <c:pt idx="93">
                  <c:v>90.7252572327676</c:v>
                </c:pt>
                <c:pt idx="94">
                  <c:v>90.6893012595337</c:v>
                </c:pt>
                <c:pt idx="95">
                  <c:v>90.6533296664084</c:v>
                </c:pt>
                <c:pt idx="96">
                  <c:v>90.6173439017546</c:v>
                </c:pt>
                <c:pt idx="97">
                  <c:v>90.5813453527405</c:v>
                </c:pt>
                <c:pt idx="98">
                  <c:v>90.5453353484585</c:v>
                </c:pt>
                <c:pt idx="99">
                  <c:v>90.5093151628555</c:v>
                </c:pt>
                <c:pt idx="100">
                  <c:v>90.4732860174875</c:v>
                </c:pt>
                <c:pt idx="101">
                  <c:v>90.4372490841111</c:v>
                </c:pt>
                <c:pt idx="102">
                  <c:v>90.4012054871226</c:v>
                </c:pt>
                <c:pt idx="103">
                  <c:v>90.3651563058556</c:v>
                </c:pt>
                <c:pt idx="104">
                  <c:v>90.3291025767461</c:v>
                </c:pt>
                <c:pt idx="105">
                  <c:v>90.2930452953741</c:v>
                </c:pt>
                <c:pt idx="106">
                  <c:v>90.2569854183903</c:v>
                </c:pt>
                <c:pt idx="107">
                  <c:v>90.2209238653342</c:v>
                </c:pt>
                <c:pt idx="108">
                  <c:v>90.1848615203522</c:v>
                </c:pt>
                <c:pt idx="109">
                  <c:v>90.1487992338204</c:v>
                </c:pt>
                <c:pt idx="110">
                  <c:v>90.1127378238801</c:v>
                </c:pt>
                <c:pt idx="111">
                  <c:v>90.0766780778894</c:v>
                </c:pt>
                <c:pt idx="112">
                  <c:v>90.0406207537982</c:v>
                </c:pt>
                <c:pt idx="113">
                  <c:v>90.0045665814492</c:v>
                </c:pt>
                <c:pt idx="114">
                  <c:v>89.9685162638116</c:v>
                </c:pt>
                <c:pt idx="115">
                  <c:v>89.9324704781499</c:v>
                </c:pt>
                <c:pt idx="116">
                  <c:v>89.8964298771326</c:v>
                </c:pt>
                <c:pt idx="117">
                  <c:v>89.8603950898839</c:v>
                </c:pt>
                <c:pt idx="118">
                  <c:v>89.8243667229825</c:v>
                </c:pt>
                <c:pt idx="119">
                  <c:v>89.7883453614095</c:v>
                </c:pt>
                <c:pt idx="120">
                  <c:v>89.7523315694494</c:v>
                </c:pt>
                <c:pt idx="121">
                  <c:v>89.7163258915464</c:v>
                </c:pt>
                <c:pt idx="122">
                  <c:v>89.6803288531186</c:v>
                </c:pt>
                <c:pt idx="123">
                  <c:v>89.6443409613327</c:v>
                </c:pt>
                <c:pt idx="124">
                  <c:v>89.6083627058409</c:v>
                </c:pt>
                <c:pt idx="125">
                  <c:v>89.5723945594829</c:v>
                </c:pt>
                <c:pt idx="126">
                  <c:v>89.5364369789546</c:v>
                </c:pt>
                <c:pt idx="127">
                  <c:v>89.5004904054444</c:v>
                </c:pt>
                <c:pt idx="128">
                  <c:v>89.4645552652408</c:v>
                </c:pt>
                <c:pt idx="129">
                  <c:v>89.4286319703114</c:v>
                </c:pt>
                <c:pt idx="130">
                  <c:v>89.3927209188545</c:v>
                </c:pt>
                <c:pt idx="131">
                  <c:v>89.3568224958269</c:v>
                </c:pt>
                <c:pt idx="132">
                  <c:v>89.3209370734461</c:v>
                </c:pt>
                <c:pt idx="133">
                  <c:v>89.2850650116716</c:v>
                </c:pt>
                <c:pt idx="134">
                  <c:v>89.2492066586629</c:v>
                </c:pt>
                <c:pt idx="135">
                  <c:v>89.2133623512188</c:v>
                </c:pt>
                <c:pt idx="136">
                  <c:v>89.1775324151961</c:v>
                </c:pt>
                <c:pt idx="137">
                  <c:v>89.1417171659106</c:v>
                </c:pt>
                <c:pt idx="138">
                  <c:v>89.1059169085209</c:v>
                </c:pt>
                <c:pt idx="139">
                  <c:v>89.0701319383947</c:v>
                </c:pt>
                <c:pt idx="140">
                  <c:v>89.0343625414606</c:v>
                </c:pt>
                <c:pt idx="141">
                  <c:v>88.9986089945443</c:v>
                </c:pt>
                <c:pt idx="142">
                  <c:v>88.9628715656904</c:v>
                </c:pt>
                <c:pt idx="143">
                  <c:v>88.9271505144713</c:v>
                </c:pt>
                <c:pt idx="144">
                  <c:v>88.8914460922828</c:v>
                </c:pt>
                <c:pt idx="145">
                  <c:v>88.8557585426278</c:v>
                </c:pt>
                <c:pt idx="146">
                  <c:v>88.820088101388</c:v>
                </c:pt>
                <c:pt idx="147">
                  <c:v>88.7844349970848</c:v>
                </c:pt>
                <c:pt idx="148">
                  <c:v>88.7487994511298</c:v>
                </c:pt>
                <c:pt idx="149">
                  <c:v>88.7131816780643</c:v>
                </c:pt>
                <c:pt idx="150">
                  <c:v>88.6775818857908</c:v>
                </c:pt>
              </c:numCache>
            </c:numRef>
          </c:yVal>
          <c:smooth val="0"/>
        </c:ser>
        <c:dLbls>
          <c:showLegendKey val="0"/>
          <c:showVal val="0"/>
          <c:showCatName val="0"/>
          <c:showSerName val="0"/>
          <c:showPercent val="0"/>
          <c:showBubbleSize val="0"/>
        </c:dLbls>
        <c:axId val="175638784"/>
        <c:axId val="175648768"/>
      </c:scatterChart>
      <c:scatterChart>
        <c:scatterStyle val="smooth"/>
        <c:varyColors val="0"/>
        <c:ser>
          <c:idx val="1"/>
          <c:order val="1"/>
          <c:tx>
            <c:strRef>
              <c:f>"MOSFET"</c:f>
              <c:strCache>
                <c:ptCount val="1"/>
                <c:pt idx="0">
                  <c:v>MOSFET</c:v>
                </c:pt>
              </c:strCache>
            </c:strRef>
          </c:tx>
          <c:marker>
            <c:symbol val="none"/>
          </c:marker>
          <c:dLbls>
            <c:delete val="1"/>
          </c:dLbls>
          <c:xVal>
            <c:numRef>
              <c:f>Eff_vs_IOUT!$S$7:$S$157</c:f>
              <c:numCache>
                <c:formatCode>General</c:formatCode>
                <c:ptCount val="151"/>
                <c:pt idx="0">
                  <c:v>0</c:v>
                </c:pt>
                <c:pt idx="1">
                  <c:v>0.02</c:v>
                </c:pt>
                <c:pt idx="2">
                  <c:v>0.04</c:v>
                </c:pt>
                <c:pt idx="3">
                  <c:v>0.06</c:v>
                </c:pt>
                <c:pt idx="4">
                  <c:v>0.08</c:v>
                </c:pt>
                <c:pt idx="5">
                  <c:v>0.1</c:v>
                </c:pt>
                <c:pt idx="6">
                  <c:v>0.12</c:v>
                </c:pt>
                <c:pt idx="7">
                  <c:v>0.14</c:v>
                </c:pt>
                <c:pt idx="8">
                  <c:v>0.16</c:v>
                </c:pt>
                <c:pt idx="9">
                  <c:v>0.18</c:v>
                </c:pt>
                <c:pt idx="10">
                  <c:v>0.2</c:v>
                </c:pt>
                <c:pt idx="11">
                  <c:v>0.22</c:v>
                </c:pt>
                <c:pt idx="12">
                  <c:v>0.24</c:v>
                </c:pt>
                <c:pt idx="13">
                  <c:v>0.26</c:v>
                </c:pt>
                <c:pt idx="14">
                  <c:v>0.28</c:v>
                </c:pt>
                <c:pt idx="15">
                  <c:v>0.3</c:v>
                </c:pt>
                <c:pt idx="16">
                  <c:v>0.32</c:v>
                </c:pt>
                <c:pt idx="17">
                  <c:v>0.34</c:v>
                </c:pt>
                <c:pt idx="18">
                  <c:v>0.36</c:v>
                </c:pt>
                <c:pt idx="19">
                  <c:v>0.38</c:v>
                </c:pt>
                <c:pt idx="20">
                  <c:v>0.4</c:v>
                </c:pt>
                <c:pt idx="21">
                  <c:v>0.42</c:v>
                </c:pt>
                <c:pt idx="22">
                  <c:v>0.44</c:v>
                </c:pt>
                <c:pt idx="23">
                  <c:v>0.46</c:v>
                </c:pt>
                <c:pt idx="24">
                  <c:v>0.48</c:v>
                </c:pt>
                <c:pt idx="25">
                  <c:v>0.5</c:v>
                </c:pt>
                <c:pt idx="26">
                  <c:v>0.52</c:v>
                </c:pt>
                <c:pt idx="27">
                  <c:v>0.54</c:v>
                </c:pt>
                <c:pt idx="28">
                  <c:v>0.56</c:v>
                </c:pt>
                <c:pt idx="29">
                  <c:v>0.58</c:v>
                </c:pt>
                <c:pt idx="30">
                  <c:v>0.6</c:v>
                </c:pt>
                <c:pt idx="31">
                  <c:v>0.62</c:v>
                </c:pt>
                <c:pt idx="32">
                  <c:v>0.64</c:v>
                </c:pt>
                <c:pt idx="33">
                  <c:v>0.66</c:v>
                </c:pt>
                <c:pt idx="34">
                  <c:v>0.68</c:v>
                </c:pt>
                <c:pt idx="35">
                  <c:v>0.7</c:v>
                </c:pt>
                <c:pt idx="36">
                  <c:v>0.72</c:v>
                </c:pt>
                <c:pt idx="37">
                  <c:v>0.74</c:v>
                </c:pt>
                <c:pt idx="38">
                  <c:v>0.76</c:v>
                </c:pt>
                <c:pt idx="39">
                  <c:v>0.78</c:v>
                </c:pt>
                <c:pt idx="40">
                  <c:v>0.8</c:v>
                </c:pt>
                <c:pt idx="41">
                  <c:v>0.82</c:v>
                </c:pt>
                <c:pt idx="42">
                  <c:v>0.84</c:v>
                </c:pt>
                <c:pt idx="43">
                  <c:v>0.86</c:v>
                </c:pt>
                <c:pt idx="44">
                  <c:v>0.88</c:v>
                </c:pt>
                <c:pt idx="45">
                  <c:v>0.9</c:v>
                </c:pt>
                <c:pt idx="46">
                  <c:v>0.92</c:v>
                </c:pt>
                <c:pt idx="47">
                  <c:v>0.94</c:v>
                </c:pt>
                <c:pt idx="48">
                  <c:v>0.96</c:v>
                </c:pt>
                <c:pt idx="49">
                  <c:v>0.98</c:v>
                </c:pt>
                <c:pt idx="50">
                  <c:v>1</c:v>
                </c:pt>
                <c:pt idx="51">
                  <c:v>1.02</c:v>
                </c:pt>
                <c:pt idx="52">
                  <c:v>1.04</c:v>
                </c:pt>
                <c:pt idx="53">
                  <c:v>1.06</c:v>
                </c:pt>
                <c:pt idx="54">
                  <c:v>1.08</c:v>
                </c:pt>
                <c:pt idx="55">
                  <c:v>1.1</c:v>
                </c:pt>
                <c:pt idx="56">
                  <c:v>1.12</c:v>
                </c:pt>
                <c:pt idx="57">
                  <c:v>1.14</c:v>
                </c:pt>
                <c:pt idx="58">
                  <c:v>1.16</c:v>
                </c:pt>
                <c:pt idx="59">
                  <c:v>1.18</c:v>
                </c:pt>
                <c:pt idx="60">
                  <c:v>1.2</c:v>
                </c:pt>
                <c:pt idx="61">
                  <c:v>1.22</c:v>
                </c:pt>
                <c:pt idx="62">
                  <c:v>1.24</c:v>
                </c:pt>
                <c:pt idx="63">
                  <c:v>1.26</c:v>
                </c:pt>
                <c:pt idx="64">
                  <c:v>1.28</c:v>
                </c:pt>
                <c:pt idx="65">
                  <c:v>1.3</c:v>
                </c:pt>
                <c:pt idx="66">
                  <c:v>1.32</c:v>
                </c:pt>
                <c:pt idx="67">
                  <c:v>1.34</c:v>
                </c:pt>
                <c:pt idx="68">
                  <c:v>1.36</c:v>
                </c:pt>
                <c:pt idx="69">
                  <c:v>1.38</c:v>
                </c:pt>
                <c:pt idx="70">
                  <c:v>1.4</c:v>
                </c:pt>
                <c:pt idx="71">
                  <c:v>1.42</c:v>
                </c:pt>
                <c:pt idx="72">
                  <c:v>1.44</c:v>
                </c:pt>
                <c:pt idx="73">
                  <c:v>1.46</c:v>
                </c:pt>
                <c:pt idx="74">
                  <c:v>1.48</c:v>
                </c:pt>
                <c:pt idx="75">
                  <c:v>1.5</c:v>
                </c:pt>
                <c:pt idx="76">
                  <c:v>1.52</c:v>
                </c:pt>
                <c:pt idx="77">
                  <c:v>1.54</c:v>
                </c:pt>
                <c:pt idx="78">
                  <c:v>1.56</c:v>
                </c:pt>
                <c:pt idx="79">
                  <c:v>1.58</c:v>
                </c:pt>
                <c:pt idx="80">
                  <c:v>1.6</c:v>
                </c:pt>
                <c:pt idx="81">
                  <c:v>1.62</c:v>
                </c:pt>
                <c:pt idx="82">
                  <c:v>1.64</c:v>
                </c:pt>
                <c:pt idx="83">
                  <c:v>1.66</c:v>
                </c:pt>
                <c:pt idx="84">
                  <c:v>1.68</c:v>
                </c:pt>
                <c:pt idx="85">
                  <c:v>1.7</c:v>
                </c:pt>
                <c:pt idx="86">
                  <c:v>1.72</c:v>
                </c:pt>
                <c:pt idx="87">
                  <c:v>1.74</c:v>
                </c:pt>
                <c:pt idx="88">
                  <c:v>1.76</c:v>
                </c:pt>
                <c:pt idx="89">
                  <c:v>1.78</c:v>
                </c:pt>
                <c:pt idx="90">
                  <c:v>1.8</c:v>
                </c:pt>
                <c:pt idx="91">
                  <c:v>1.82</c:v>
                </c:pt>
                <c:pt idx="92">
                  <c:v>1.84</c:v>
                </c:pt>
                <c:pt idx="93">
                  <c:v>1.86</c:v>
                </c:pt>
                <c:pt idx="94">
                  <c:v>1.88</c:v>
                </c:pt>
                <c:pt idx="95">
                  <c:v>1.9</c:v>
                </c:pt>
                <c:pt idx="96">
                  <c:v>1.92</c:v>
                </c:pt>
                <c:pt idx="97">
                  <c:v>1.94</c:v>
                </c:pt>
                <c:pt idx="98">
                  <c:v>1.96</c:v>
                </c:pt>
                <c:pt idx="99">
                  <c:v>1.98</c:v>
                </c:pt>
                <c:pt idx="100">
                  <c:v>2</c:v>
                </c:pt>
                <c:pt idx="101">
                  <c:v>2.02</c:v>
                </c:pt>
                <c:pt idx="102">
                  <c:v>2.04</c:v>
                </c:pt>
                <c:pt idx="103">
                  <c:v>2.06</c:v>
                </c:pt>
                <c:pt idx="104">
                  <c:v>2.08</c:v>
                </c:pt>
                <c:pt idx="105">
                  <c:v>2.1</c:v>
                </c:pt>
                <c:pt idx="106">
                  <c:v>2.12</c:v>
                </c:pt>
                <c:pt idx="107">
                  <c:v>2.14</c:v>
                </c:pt>
                <c:pt idx="108">
                  <c:v>2.16</c:v>
                </c:pt>
                <c:pt idx="109">
                  <c:v>2.18</c:v>
                </c:pt>
                <c:pt idx="110">
                  <c:v>2.2</c:v>
                </c:pt>
                <c:pt idx="111">
                  <c:v>2.22</c:v>
                </c:pt>
                <c:pt idx="112">
                  <c:v>2.24</c:v>
                </c:pt>
                <c:pt idx="113">
                  <c:v>2.26</c:v>
                </c:pt>
                <c:pt idx="114">
                  <c:v>2.28</c:v>
                </c:pt>
                <c:pt idx="115">
                  <c:v>2.3</c:v>
                </c:pt>
                <c:pt idx="116">
                  <c:v>2.32</c:v>
                </c:pt>
                <c:pt idx="117">
                  <c:v>2.34</c:v>
                </c:pt>
                <c:pt idx="118">
                  <c:v>2.36</c:v>
                </c:pt>
                <c:pt idx="119">
                  <c:v>2.38</c:v>
                </c:pt>
                <c:pt idx="120">
                  <c:v>2.4</c:v>
                </c:pt>
                <c:pt idx="121">
                  <c:v>2.42</c:v>
                </c:pt>
                <c:pt idx="122">
                  <c:v>2.44</c:v>
                </c:pt>
                <c:pt idx="123">
                  <c:v>2.46</c:v>
                </c:pt>
                <c:pt idx="124">
                  <c:v>2.48</c:v>
                </c:pt>
                <c:pt idx="125">
                  <c:v>2.5</c:v>
                </c:pt>
                <c:pt idx="126">
                  <c:v>2.52</c:v>
                </c:pt>
                <c:pt idx="127">
                  <c:v>2.54</c:v>
                </c:pt>
                <c:pt idx="128">
                  <c:v>2.56</c:v>
                </c:pt>
                <c:pt idx="129">
                  <c:v>2.58</c:v>
                </c:pt>
                <c:pt idx="130">
                  <c:v>2.6</c:v>
                </c:pt>
                <c:pt idx="131">
                  <c:v>2.62</c:v>
                </c:pt>
                <c:pt idx="132">
                  <c:v>2.64</c:v>
                </c:pt>
                <c:pt idx="133">
                  <c:v>2.66</c:v>
                </c:pt>
                <c:pt idx="134">
                  <c:v>2.68</c:v>
                </c:pt>
                <c:pt idx="135">
                  <c:v>2.7</c:v>
                </c:pt>
                <c:pt idx="136">
                  <c:v>2.72</c:v>
                </c:pt>
                <c:pt idx="137">
                  <c:v>2.74</c:v>
                </c:pt>
                <c:pt idx="138">
                  <c:v>2.76</c:v>
                </c:pt>
                <c:pt idx="139">
                  <c:v>2.78</c:v>
                </c:pt>
                <c:pt idx="140">
                  <c:v>2.8</c:v>
                </c:pt>
                <c:pt idx="141">
                  <c:v>2.82</c:v>
                </c:pt>
                <c:pt idx="142">
                  <c:v>2.84</c:v>
                </c:pt>
                <c:pt idx="143">
                  <c:v>2.86</c:v>
                </c:pt>
                <c:pt idx="144">
                  <c:v>2.88</c:v>
                </c:pt>
                <c:pt idx="145">
                  <c:v>2.9</c:v>
                </c:pt>
                <c:pt idx="146">
                  <c:v>2.92</c:v>
                </c:pt>
                <c:pt idx="147">
                  <c:v>2.94</c:v>
                </c:pt>
                <c:pt idx="148">
                  <c:v>2.96</c:v>
                </c:pt>
                <c:pt idx="149">
                  <c:v>2.98</c:v>
                </c:pt>
                <c:pt idx="150">
                  <c:v>3</c:v>
                </c:pt>
              </c:numCache>
            </c:numRef>
          </c:xVal>
          <c:yVal>
            <c:numRef>
              <c:f>Eff_vs_IOUT!$AI$7:$AI$157</c:f>
              <c:numCache>
                <c:formatCode>General</c:formatCode>
                <c:ptCount val="151"/>
                <c:pt idx="0">
                  <c:v>0</c:v>
                </c:pt>
                <c:pt idx="1">
                  <c:v>0.0166749759210857</c:v>
                </c:pt>
                <c:pt idx="2">
                  <c:v>0.0329565401934279</c:v>
                </c:pt>
                <c:pt idx="3">
                  <c:v>0.0496095003884034</c:v>
                </c:pt>
                <c:pt idx="4">
                  <c:v>0.0664324605833789</c:v>
                </c:pt>
                <c:pt idx="5">
                  <c:v>0.0834254207783543</c:v>
                </c:pt>
                <c:pt idx="6">
                  <c:v>0.10058838097333</c:v>
                </c:pt>
                <c:pt idx="7">
                  <c:v>0.117921341168305</c:v>
                </c:pt>
                <c:pt idx="8">
                  <c:v>0.135424301363281</c:v>
                </c:pt>
                <c:pt idx="9">
                  <c:v>0.153097261558256</c:v>
                </c:pt>
                <c:pt idx="10">
                  <c:v>0.170940221753232</c:v>
                </c:pt>
                <c:pt idx="11">
                  <c:v>0.188953181948207</c:v>
                </c:pt>
                <c:pt idx="12">
                  <c:v>0.207136142143183</c:v>
                </c:pt>
                <c:pt idx="13">
                  <c:v>0.225489102338158</c:v>
                </c:pt>
                <c:pt idx="14">
                  <c:v>0.244012062533134</c:v>
                </c:pt>
                <c:pt idx="15">
                  <c:v>0.262705022728109</c:v>
                </c:pt>
                <c:pt idx="16">
                  <c:v>0.281567982923085</c:v>
                </c:pt>
                <c:pt idx="17">
                  <c:v>0.30060094311806</c:v>
                </c:pt>
                <c:pt idx="18">
                  <c:v>0.319803903313035</c:v>
                </c:pt>
                <c:pt idx="19">
                  <c:v>0.339176863508011</c:v>
                </c:pt>
                <c:pt idx="20">
                  <c:v>0.358719823702986</c:v>
                </c:pt>
                <c:pt idx="21">
                  <c:v>0.378432783897962</c:v>
                </c:pt>
                <c:pt idx="22">
                  <c:v>0.398315744092938</c:v>
                </c:pt>
                <c:pt idx="23">
                  <c:v>0.418368704287913</c:v>
                </c:pt>
                <c:pt idx="24">
                  <c:v>0.438591664482888</c:v>
                </c:pt>
                <c:pt idx="25">
                  <c:v>0.458984624677864</c:v>
                </c:pt>
                <c:pt idx="26">
                  <c:v>0.479547584872839</c:v>
                </c:pt>
                <c:pt idx="27">
                  <c:v>0.500280545067815</c:v>
                </c:pt>
                <c:pt idx="28">
                  <c:v>0.52118350526279</c:v>
                </c:pt>
                <c:pt idx="29">
                  <c:v>0.542256465457766</c:v>
                </c:pt>
                <c:pt idx="30">
                  <c:v>0.563499425652741</c:v>
                </c:pt>
                <c:pt idx="31">
                  <c:v>0.584912385847717</c:v>
                </c:pt>
                <c:pt idx="32">
                  <c:v>0.606495346042692</c:v>
                </c:pt>
                <c:pt idx="33">
                  <c:v>0.628248306237668</c:v>
                </c:pt>
                <c:pt idx="34">
                  <c:v>0.650171266432643</c:v>
                </c:pt>
                <c:pt idx="35">
                  <c:v>0.672264226627619</c:v>
                </c:pt>
                <c:pt idx="36">
                  <c:v>0.694527186822594</c:v>
                </c:pt>
                <c:pt idx="37">
                  <c:v>0.71696014701757</c:v>
                </c:pt>
                <c:pt idx="38">
                  <c:v>0.739563107212545</c:v>
                </c:pt>
                <c:pt idx="39">
                  <c:v>0.762336067407521</c:v>
                </c:pt>
                <c:pt idx="40">
                  <c:v>0.785279027602496</c:v>
                </c:pt>
                <c:pt idx="41">
                  <c:v>0.808391987797472</c:v>
                </c:pt>
                <c:pt idx="42">
                  <c:v>0.831674947992447</c:v>
                </c:pt>
                <c:pt idx="43">
                  <c:v>0.855127908187423</c:v>
                </c:pt>
                <c:pt idx="44">
                  <c:v>0.878750868382398</c:v>
                </c:pt>
                <c:pt idx="45">
                  <c:v>0.902543828577374</c:v>
                </c:pt>
                <c:pt idx="46">
                  <c:v>0.926506788772349</c:v>
                </c:pt>
                <c:pt idx="47">
                  <c:v>0.950639748967325</c:v>
                </c:pt>
                <c:pt idx="48">
                  <c:v>0.9749427091623</c:v>
                </c:pt>
                <c:pt idx="49">
                  <c:v>0.999415669357276</c:v>
                </c:pt>
                <c:pt idx="50">
                  <c:v>1.02405862955225</c:v>
                </c:pt>
                <c:pt idx="51">
                  <c:v>1.04887158974723</c:v>
                </c:pt>
                <c:pt idx="52">
                  <c:v>1.0738545499422</c:v>
                </c:pt>
                <c:pt idx="53">
                  <c:v>1.09900751013718</c:v>
                </c:pt>
                <c:pt idx="54">
                  <c:v>1.12433047033215</c:v>
                </c:pt>
                <c:pt idx="55">
                  <c:v>1.14982343052713</c:v>
                </c:pt>
                <c:pt idx="56">
                  <c:v>1.1754863907221</c:v>
                </c:pt>
                <c:pt idx="57">
                  <c:v>1.20131935091708</c:v>
                </c:pt>
                <c:pt idx="58">
                  <c:v>1.22732231111205</c:v>
                </c:pt>
                <c:pt idx="59">
                  <c:v>1.25349527130703</c:v>
                </c:pt>
                <c:pt idx="60">
                  <c:v>1.27983823150201</c:v>
                </c:pt>
                <c:pt idx="61">
                  <c:v>1.30635119169698</c:v>
                </c:pt>
                <c:pt idx="62">
                  <c:v>1.33303415189196</c:v>
                </c:pt>
                <c:pt idx="63">
                  <c:v>1.35988711208693</c:v>
                </c:pt>
                <c:pt idx="64">
                  <c:v>1.38691007228191</c:v>
                </c:pt>
                <c:pt idx="65">
                  <c:v>1.41410303247688</c:v>
                </c:pt>
                <c:pt idx="66">
                  <c:v>1.44146599267186</c:v>
                </c:pt>
                <c:pt idx="67">
                  <c:v>1.46899895286683</c:v>
                </c:pt>
                <c:pt idx="68">
                  <c:v>1.49670191306181</c:v>
                </c:pt>
                <c:pt idx="69">
                  <c:v>1.52457487325679</c:v>
                </c:pt>
                <c:pt idx="70">
                  <c:v>1.55261783345176</c:v>
                </c:pt>
                <c:pt idx="71">
                  <c:v>1.58083079364674</c:v>
                </c:pt>
                <c:pt idx="72">
                  <c:v>1.60921375384171</c:v>
                </c:pt>
                <c:pt idx="73">
                  <c:v>1.63776671403669</c:v>
                </c:pt>
                <c:pt idx="74">
                  <c:v>1.66648967423166</c:v>
                </c:pt>
                <c:pt idx="75">
                  <c:v>1.69538263442664</c:v>
                </c:pt>
                <c:pt idx="76">
                  <c:v>1.72444559462161</c:v>
                </c:pt>
                <c:pt idx="77">
                  <c:v>1.75367855481659</c:v>
                </c:pt>
                <c:pt idx="78">
                  <c:v>1.78308151501156</c:v>
                </c:pt>
                <c:pt idx="79">
                  <c:v>1.81265447520654</c:v>
                </c:pt>
                <c:pt idx="80">
                  <c:v>1.84239743540152</c:v>
                </c:pt>
                <c:pt idx="81">
                  <c:v>1.87231039559649</c:v>
                </c:pt>
                <c:pt idx="82">
                  <c:v>1.90239335579147</c:v>
                </c:pt>
                <c:pt idx="83">
                  <c:v>1.93264631598644</c:v>
                </c:pt>
                <c:pt idx="84">
                  <c:v>1.96306927618142</c:v>
                </c:pt>
                <c:pt idx="85">
                  <c:v>1.99366223637639</c:v>
                </c:pt>
                <c:pt idx="86">
                  <c:v>2.02442519657137</c:v>
                </c:pt>
                <c:pt idx="87">
                  <c:v>2.05535815676634</c:v>
                </c:pt>
                <c:pt idx="88">
                  <c:v>2.08646111696132</c:v>
                </c:pt>
                <c:pt idx="89">
                  <c:v>2.11773407715629</c:v>
                </c:pt>
                <c:pt idx="90">
                  <c:v>2.14917703735127</c:v>
                </c:pt>
                <c:pt idx="91">
                  <c:v>2.18078999754625</c:v>
                </c:pt>
                <c:pt idx="92">
                  <c:v>2.21257295774122</c:v>
                </c:pt>
                <c:pt idx="93">
                  <c:v>2.2445259179362</c:v>
                </c:pt>
                <c:pt idx="94">
                  <c:v>2.27664887813117</c:v>
                </c:pt>
                <c:pt idx="95">
                  <c:v>2.30894183832615</c:v>
                </c:pt>
                <c:pt idx="96">
                  <c:v>2.34140479852112</c:v>
                </c:pt>
                <c:pt idx="97">
                  <c:v>2.3740377587161</c:v>
                </c:pt>
                <c:pt idx="98">
                  <c:v>2.40684071891107</c:v>
                </c:pt>
                <c:pt idx="99">
                  <c:v>2.43981367910605</c:v>
                </c:pt>
                <c:pt idx="100">
                  <c:v>2.47295663930102</c:v>
                </c:pt>
                <c:pt idx="101">
                  <c:v>2.506269599496</c:v>
                </c:pt>
                <c:pt idx="102">
                  <c:v>2.53975255969098</c:v>
                </c:pt>
                <c:pt idx="103">
                  <c:v>2.57340551988595</c:v>
                </c:pt>
                <c:pt idx="104">
                  <c:v>2.60722848008093</c:v>
                </c:pt>
                <c:pt idx="105">
                  <c:v>2.6412214402759</c:v>
                </c:pt>
                <c:pt idx="106">
                  <c:v>2.67538440047088</c:v>
                </c:pt>
                <c:pt idx="107">
                  <c:v>2.70971736066585</c:v>
                </c:pt>
                <c:pt idx="108">
                  <c:v>2.74422032086083</c:v>
                </c:pt>
                <c:pt idx="109">
                  <c:v>2.7788932810558</c:v>
                </c:pt>
                <c:pt idx="110">
                  <c:v>2.81373624125078</c:v>
                </c:pt>
                <c:pt idx="111">
                  <c:v>2.84874920144576</c:v>
                </c:pt>
                <c:pt idx="112">
                  <c:v>2.88393216164073</c:v>
                </c:pt>
                <c:pt idx="113">
                  <c:v>2.91928512183571</c:v>
                </c:pt>
                <c:pt idx="114">
                  <c:v>2.95480808203068</c:v>
                </c:pt>
                <c:pt idx="115">
                  <c:v>2.99050104222566</c:v>
                </c:pt>
                <c:pt idx="116">
                  <c:v>3.02636400242063</c:v>
                </c:pt>
                <c:pt idx="117">
                  <c:v>3.06239696261561</c:v>
                </c:pt>
                <c:pt idx="118">
                  <c:v>3.09859992281058</c:v>
                </c:pt>
                <c:pt idx="119">
                  <c:v>3.13497288300556</c:v>
                </c:pt>
                <c:pt idx="120">
                  <c:v>3.17151584320053</c:v>
                </c:pt>
                <c:pt idx="121">
                  <c:v>3.20822880339551</c:v>
                </c:pt>
                <c:pt idx="122">
                  <c:v>3.24511176359048</c:v>
                </c:pt>
                <c:pt idx="123">
                  <c:v>3.28216472378546</c:v>
                </c:pt>
                <c:pt idx="124">
                  <c:v>3.31938768398044</c:v>
                </c:pt>
                <c:pt idx="125">
                  <c:v>3.35678064417541</c:v>
                </c:pt>
                <c:pt idx="126">
                  <c:v>3.39434360437039</c:v>
                </c:pt>
                <c:pt idx="127">
                  <c:v>3.43207656456536</c:v>
                </c:pt>
                <c:pt idx="128">
                  <c:v>3.46997952476034</c:v>
                </c:pt>
                <c:pt idx="129">
                  <c:v>3.50805248495531</c:v>
                </c:pt>
                <c:pt idx="130">
                  <c:v>3.54629544515029</c:v>
                </c:pt>
                <c:pt idx="131">
                  <c:v>3.58470840534527</c:v>
                </c:pt>
                <c:pt idx="132">
                  <c:v>3.62329136554024</c:v>
                </c:pt>
                <c:pt idx="133">
                  <c:v>3.66204432573522</c:v>
                </c:pt>
                <c:pt idx="134">
                  <c:v>3.70096728593019</c:v>
                </c:pt>
                <c:pt idx="135">
                  <c:v>3.74006024612517</c:v>
                </c:pt>
                <c:pt idx="136">
                  <c:v>3.77932320632014</c:v>
                </c:pt>
                <c:pt idx="137">
                  <c:v>3.81875616651512</c:v>
                </c:pt>
                <c:pt idx="138">
                  <c:v>3.85835912671009</c:v>
                </c:pt>
                <c:pt idx="139">
                  <c:v>3.89813208690507</c:v>
                </c:pt>
                <c:pt idx="140">
                  <c:v>3.93807504710004</c:v>
                </c:pt>
                <c:pt idx="141">
                  <c:v>3.97818800729502</c:v>
                </c:pt>
                <c:pt idx="142">
                  <c:v>4.01847096748999</c:v>
                </c:pt>
                <c:pt idx="143">
                  <c:v>4.05892392768497</c:v>
                </c:pt>
                <c:pt idx="144">
                  <c:v>4.09954688787995</c:v>
                </c:pt>
                <c:pt idx="145">
                  <c:v>4.14033984807492</c:v>
                </c:pt>
                <c:pt idx="146">
                  <c:v>4.1813028082699</c:v>
                </c:pt>
                <c:pt idx="147">
                  <c:v>4.22243576846487</c:v>
                </c:pt>
                <c:pt idx="148">
                  <c:v>4.26373872865985</c:v>
                </c:pt>
                <c:pt idx="149">
                  <c:v>4.30521168885482</c:v>
                </c:pt>
                <c:pt idx="150">
                  <c:v>4.3468546490498</c:v>
                </c:pt>
              </c:numCache>
            </c:numRef>
          </c:yVal>
          <c:smooth val="1"/>
        </c:ser>
        <c:ser>
          <c:idx val="2"/>
          <c:order val="2"/>
          <c:tx>
            <c:strRef>
              <c:f>"Diode"</c:f>
              <c:strCache>
                <c:ptCount val="1"/>
                <c:pt idx="0">
                  <c:v>Diode</c:v>
                </c:pt>
              </c:strCache>
            </c:strRef>
          </c:tx>
          <c:marker>
            <c:symbol val="none"/>
          </c:marker>
          <c:dLbls>
            <c:delete val="1"/>
          </c:dLbls>
          <c:xVal>
            <c:numRef>
              <c:f>Eff_vs_IOUT!$S$7:$S$157</c:f>
              <c:numCache>
                <c:formatCode>General</c:formatCode>
                <c:ptCount val="151"/>
                <c:pt idx="0">
                  <c:v>0</c:v>
                </c:pt>
                <c:pt idx="1">
                  <c:v>0.02</c:v>
                </c:pt>
                <c:pt idx="2">
                  <c:v>0.04</c:v>
                </c:pt>
                <c:pt idx="3">
                  <c:v>0.06</c:v>
                </c:pt>
                <c:pt idx="4">
                  <c:v>0.08</c:v>
                </c:pt>
                <c:pt idx="5">
                  <c:v>0.1</c:v>
                </c:pt>
                <c:pt idx="6">
                  <c:v>0.12</c:v>
                </c:pt>
                <c:pt idx="7">
                  <c:v>0.14</c:v>
                </c:pt>
                <c:pt idx="8">
                  <c:v>0.16</c:v>
                </c:pt>
                <c:pt idx="9">
                  <c:v>0.18</c:v>
                </c:pt>
                <c:pt idx="10">
                  <c:v>0.2</c:v>
                </c:pt>
                <c:pt idx="11">
                  <c:v>0.22</c:v>
                </c:pt>
                <c:pt idx="12">
                  <c:v>0.24</c:v>
                </c:pt>
                <c:pt idx="13">
                  <c:v>0.26</c:v>
                </c:pt>
                <c:pt idx="14">
                  <c:v>0.28</c:v>
                </c:pt>
                <c:pt idx="15">
                  <c:v>0.3</c:v>
                </c:pt>
                <c:pt idx="16">
                  <c:v>0.32</c:v>
                </c:pt>
                <c:pt idx="17">
                  <c:v>0.34</c:v>
                </c:pt>
                <c:pt idx="18">
                  <c:v>0.36</c:v>
                </c:pt>
                <c:pt idx="19">
                  <c:v>0.38</c:v>
                </c:pt>
                <c:pt idx="20">
                  <c:v>0.4</c:v>
                </c:pt>
                <c:pt idx="21">
                  <c:v>0.42</c:v>
                </c:pt>
                <c:pt idx="22">
                  <c:v>0.44</c:v>
                </c:pt>
                <c:pt idx="23">
                  <c:v>0.46</c:v>
                </c:pt>
                <c:pt idx="24">
                  <c:v>0.48</c:v>
                </c:pt>
                <c:pt idx="25">
                  <c:v>0.5</c:v>
                </c:pt>
                <c:pt idx="26">
                  <c:v>0.52</c:v>
                </c:pt>
                <c:pt idx="27">
                  <c:v>0.54</c:v>
                </c:pt>
                <c:pt idx="28">
                  <c:v>0.56</c:v>
                </c:pt>
                <c:pt idx="29">
                  <c:v>0.58</c:v>
                </c:pt>
                <c:pt idx="30">
                  <c:v>0.6</c:v>
                </c:pt>
                <c:pt idx="31">
                  <c:v>0.62</c:v>
                </c:pt>
                <c:pt idx="32">
                  <c:v>0.64</c:v>
                </c:pt>
                <c:pt idx="33">
                  <c:v>0.66</c:v>
                </c:pt>
                <c:pt idx="34">
                  <c:v>0.68</c:v>
                </c:pt>
                <c:pt idx="35">
                  <c:v>0.7</c:v>
                </c:pt>
                <c:pt idx="36">
                  <c:v>0.72</c:v>
                </c:pt>
                <c:pt idx="37">
                  <c:v>0.74</c:v>
                </c:pt>
                <c:pt idx="38">
                  <c:v>0.76</c:v>
                </c:pt>
                <c:pt idx="39">
                  <c:v>0.78</c:v>
                </c:pt>
                <c:pt idx="40">
                  <c:v>0.8</c:v>
                </c:pt>
                <c:pt idx="41">
                  <c:v>0.82</c:v>
                </c:pt>
                <c:pt idx="42">
                  <c:v>0.84</c:v>
                </c:pt>
                <c:pt idx="43">
                  <c:v>0.86</c:v>
                </c:pt>
                <c:pt idx="44">
                  <c:v>0.88</c:v>
                </c:pt>
                <c:pt idx="45">
                  <c:v>0.9</c:v>
                </c:pt>
                <c:pt idx="46">
                  <c:v>0.92</c:v>
                </c:pt>
                <c:pt idx="47">
                  <c:v>0.94</c:v>
                </c:pt>
                <c:pt idx="48">
                  <c:v>0.96</c:v>
                </c:pt>
                <c:pt idx="49">
                  <c:v>0.98</c:v>
                </c:pt>
                <c:pt idx="50">
                  <c:v>1</c:v>
                </c:pt>
                <c:pt idx="51">
                  <c:v>1.02</c:v>
                </c:pt>
                <c:pt idx="52">
                  <c:v>1.04</c:v>
                </c:pt>
                <c:pt idx="53">
                  <c:v>1.06</c:v>
                </c:pt>
                <c:pt idx="54">
                  <c:v>1.08</c:v>
                </c:pt>
                <c:pt idx="55">
                  <c:v>1.1</c:v>
                </c:pt>
                <c:pt idx="56">
                  <c:v>1.12</c:v>
                </c:pt>
                <c:pt idx="57">
                  <c:v>1.14</c:v>
                </c:pt>
                <c:pt idx="58">
                  <c:v>1.16</c:v>
                </c:pt>
                <c:pt idx="59">
                  <c:v>1.18</c:v>
                </c:pt>
                <c:pt idx="60">
                  <c:v>1.2</c:v>
                </c:pt>
                <c:pt idx="61">
                  <c:v>1.22</c:v>
                </c:pt>
                <c:pt idx="62">
                  <c:v>1.24</c:v>
                </c:pt>
                <c:pt idx="63">
                  <c:v>1.26</c:v>
                </c:pt>
                <c:pt idx="64">
                  <c:v>1.28</c:v>
                </c:pt>
                <c:pt idx="65">
                  <c:v>1.3</c:v>
                </c:pt>
                <c:pt idx="66">
                  <c:v>1.32</c:v>
                </c:pt>
                <c:pt idx="67">
                  <c:v>1.34</c:v>
                </c:pt>
                <c:pt idx="68">
                  <c:v>1.36</c:v>
                </c:pt>
                <c:pt idx="69">
                  <c:v>1.38</c:v>
                </c:pt>
                <c:pt idx="70">
                  <c:v>1.4</c:v>
                </c:pt>
                <c:pt idx="71">
                  <c:v>1.42</c:v>
                </c:pt>
                <c:pt idx="72">
                  <c:v>1.44</c:v>
                </c:pt>
                <c:pt idx="73">
                  <c:v>1.46</c:v>
                </c:pt>
                <c:pt idx="74">
                  <c:v>1.48</c:v>
                </c:pt>
                <c:pt idx="75">
                  <c:v>1.5</c:v>
                </c:pt>
                <c:pt idx="76">
                  <c:v>1.52</c:v>
                </c:pt>
                <c:pt idx="77">
                  <c:v>1.54</c:v>
                </c:pt>
                <c:pt idx="78">
                  <c:v>1.56</c:v>
                </c:pt>
                <c:pt idx="79">
                  <c:v>1.58</c:v>
                </c:pt>
                <c:pt idx="80">
                  <c:v>1.6</c:v>
                </c:pt>
                <c:pt idx="81">
                  <c:v>1.62</c:v>
                </c:pt>
                <c:pt idx="82">
                  <c:v>1.64</c:v>
                </c:pt>
                <c:pt idx="83">
                  <c:v>1.66</c:v>
                </c:pt>
                <c:pt idx="84">
                  <c:v>1.68</c:v>
                </c:pt>
                <c:pt idx="85">
                  <c:v>1.7</c:v>
                </c:pt>
                <c:pt idx="86">
                  <c:v>1.72</c:v>
                </c:pt>
                <c:pt idx="87">
                  <c:v>1.74</c:v>
                </c:pt>
                <c:pt idx="88">
                  <c:v>1.76</c:v>
                </c:pt>
                <c:pt idx="89">
                  <c:v>1.78</c:v>
                </c:pt>
                <c:pt idx="90">
                  <c:v>1.8</c:v>
                </c:pt>
                <c:pt idx="91">
                  <c:v>1.82</c:v>
                </c:pt>
                <c:pt idx="92">
                  <c:v>1.84</c:v>
                </c:pt>
                <c:pt idx="93">
                  <c:v>1.86</c:v>
                </c:pt>
                <c:pt idx="94">
                  <c:v>1.88</c:v>
                </c:pt>
                <c:pt idx="95">
                  <c:v>1.9</c:v>
                </c:pt>
                <c:pt idx="96">
                  <c:v>1.92</c:v>
                </c:pt>
                <c:pt idx="97">
                  <c:v>1.94</c:v>
                </c:pt>
                <c:pt idx="98">
                  <c:v>1.96</c:v>
                </c:pt>
                <c:pt idx="99">
                  <c:v>1.98</c:v>
                </c:pt>
                <c:pt idx="100">
                  <c:v>2</c:v>
                </c:pt>
                <c:pt idx="101">
                  <c:v>2.02</c:v>
                </c:pt>
                <c:pt idx="102">
                  <c:v>2.04</c:v>
                </c:pt>
                <c:pt idx="103">
                  <c:v>2.06</c:v>
                </c:pt>
                <c:pt idx="104">
                  <c:v>2.08</c:v>
                </c:pt>
                <c:pt idx="105">
                  <c:v>2.1</c:v>
                </c:pt>
                <c:pt idx="106">
                  <c:v>2.12</c:v>
                </c:pt>
                <c:pt idx="107">
                  <c:v>2.14</c:v>
                </c:pt>
                <c:pt idx="108">
                  <c:v>2.16</c:v>
                </c:pt>
                <c:pt idx="109">
                  <c:v>2.18</c:v>
                </c:pt>
                <c:pt idx="110">
                  <c:v>2.2</c:v>
                </c:pt>
                <c:pt idx="111">
                  <c:v>2.22</c:v>
                </c:pt>
                <c:pt idx="112">
                  <c:v>2.24</c:v>
                </c:pt>
                <c:pt idx="113">
                  <c:v>2.26</c:v>
                </c:pt>
                <c:pt idx="114">
                  <c:v>2.28</c:v>
                </c:pt>
                <c:pt idx="115">
                  <c:v>2.3</c:v>
                </c:pt>
                <c:pt idx="116">
                  <c:v>2.32</c:v>
                </c:pt>
                <c:pt idx="117">
                  <c:v>2.34</c:v>
                </c:pt>
                <c:pt idx="118">
                  <c:v>2.36</c:v>
                </c:pt>
                <c:pt idx="119">
                  <c:v>2.38</c:v>
                </c:pt>
                <c:pt idx="120">
                  <c:v>2.4</c:v>
                </c:pt>
                <c:pt idx="121">
                  <c:v>2.42</c:v>
                </c:pt>
                <c:pt idx="122">
                  <c:v>2.44</c:v>
                </c:pt>
                <c:pt idx="123">
                  <c:v>2.46</c:v>
                </c:pt>
                <c:pt idx="124">
                  <c:v>2.48</c:v>
                </c:pt>
                <c:pt idx="125">
                  <c:v>2.5</c:v>
                </c:pt>
                <c:pt idx="126">
                  <c:v>2.52</c:v>
                </c:pt>
                <c:pt idx="127">
                  <c:v>2.54</c:v>
                </c:pt>
                <c:pt idx="128">
                  <c:v>2.56</c:v>
                </c:pt>
                <c:pt idx="129">
                  <c:v>2.58</c:v>
                </c:pt>
                <c:pt idx="130">
                  <c:v>2.6</c:v>
                </c:pt>
                <c:pt idx="131">
                  <c:v>2.62</c:v>
                </c:pt>
                <c:pt idx="132">
                  <c:v>2.64</c:v>
                </c:pt>
                <c:pt idx="133">
                  <c:v>2.66</c:v>
                </c:pt>
                <c:pt idx="134">
                  <c:v>2.68</c:v>
                </c:pt>
                <c:pt idx="135">
                  <c:v>2.7</c:v>
                </c:pt>
                <c:pt idx="136">
                  <c:v>2.72</c:v>
                </c:pt>
                <c:pt idx="137">
                  <c:v>2.74</c:v>
                </c:pt>
                <c:pt idx="138">
                  <c:v>2.76</c:v>
                </c:pt>
                <c:pt idx="139">
                  <c:v>2.78</c:v>
                </c:pt>
                <c:pt idx="140">
                  <c:v>2.8</c:v>
                </c:pt>
                <c:pt idx="141">
                  <c:v>2.82</c:v>
                </c:pt>
                <c:pt idx="142">
                  <c:v>2.84</c:v>
                </c:pt>
                <c:pt idx="143">
                  <c:v>2.86</c:v>
                </c:pt>
                <c:pt idx="144">
                  <c:v>2.88</c:v>
                </c:pt>
                <c:pt idx="145">
                  <c:v>2.9</c:v>
                </c:pt>
                <c:pt idx="146">
                  <c:v>2.92</c:v>
                </c:pt>
                <c:pt idx="147">
                  <c:v>2.94</c:v>
                </c:pt>
                <c:pt idx="148">
                  <c:v>2.96</c:v>
                </c:pt>
                <c:pt idx="149">
                  <c:v>2.98</c:v>
                </c:pt>
                <c:pt idx="150">
                  <c:v>3</c:v>
                </c:pt>
              </c:numCache>
            </c:numRef>
          </c:xVal>
          <c:yVal>
            <c:numRef>
              <c:f>Eff_vs_IOUT!$AN$7:$AN$157</c:f>
              <c:numCache>
                <c:formatCode>General</c:formatCode>
                <c:ptCount val="151"/>
                <c:pt idx="0">
                  <c:v>0</c:v>
                </c:pt>
                <c:pt idx="1">
                  <c:v>0.0065</c:v>
                </c:pt>
                <c:pt idx="2">
                  <c:v>0.013</c:v>
                </c:pt>
                <c:pt idx="3">
                  <c:v>0.0195</c:v>
                </c:pt>
                <c:pt idx="4">
                  <c:v>0.026</c:v>
                </c:pt>
                <c:pt idx="5">
                  <c:v>0.0325</c:v>
                </c:pt>
                <c:pt idx="6">
                  <c:v>0.039</c:v>
                </c:pt>
                <c:pt idx="7">
                  <c:v>0.0455</c:v>
                </c:pt>
                <c:pt idx="8">
                  <c:v>0.052</c:v>
                </c:pt>
                <c:pt idx="9">
                  <c:v>0.0585</c:v>
                </c:pt>
                <c:pt idx="10">
                  <c:v>0.065</c:v>
                </c:pt>
                <c:pt idx="11">
                  <c:v>0.0715</c:v>
                </c:pt>
                <c:pt idx="12">
                  <c:v>0.078</c:v>
                </c:pt>
                <c:pt idx="13">
                  <c:v>0.0845</c:v>
                </c:pt>
                <c:pt idx="14">
                  <c:v>0.091</c:v>
                </c:pt>
                <c:pt idx="15">
                  <c:v>0.0975</c:v>
                </c:pt>
                <c:pt idx="16">
                  <c:v>0.104</c:v>
                </c:pt>
                <c:pt idx="17">
                  <c:v>0.1105</c:v>
                </c:pt>
                <c:pt idx="18">
                  <c:v>0.117</c:v>
                </c:pt>
                <c:pt idx="19">
                  <c:v>0.1235</c:v>
                </c:pt>
                <c:pt idx="20">
                  <c:v>0.13</c:v>
                </c:pt>
                <c:pt idx="21">
                  <c:v>0.1365</c:v>
                </c:pt>
                <c:pt idx="22">
                  <c:v>0.143</c:v>
                </c:pt>
                <c:pt idx="23">
                  <c:v>0.1495</c:v>
                </c:pt>
                <c:pt idx="24">
                  <c:v>0.156</c:v>
                </c:pt>
                <c:pt idx="25">
                  <c:v>0.1625</c:v>
                </c:pt>
                <c:pt idx="26">
                  <c:v>0.169</c:v>
                </c:pt>
                <c:pt idx="27">
                  <c:v>0.1755</c:v>
                </c:pt>
                <c:pt idx="28">
                  <c:v>0.182</c:v>
                </c:pt>
                <c:pt idx="29">
                  <c:v>0.1885</c:v>
                </c:pt>
                <c:pt idx="30">
                  <c:v>0.195</c:v>
                </c:pt>
                <c:pt idx="31">
                  <c:v>0.2015</c:v>
                </c:pt>
                <c:pt idx="32">
                  <c:v>0.208</c:v>
                </c:pt>
                <c:pt idx="33">
                  <c:v>0.2145</c:v>
                </c:pt>
                <c:pt idx="34">
                  <c:v>0.221</c:v>
                </c:pt>
                <c:pt idx="35">
                  <c:v>0.2275</c:v>
                </c:pt>
                <c:pt idx="36">
                  <c:v>0.234</c:v>
                </c:pt>
                <c:pt idx="37">
                  <c:v>0.2405</c:v>
                </c:pt>
                <c:pt idx="38">
                  <c:v>0.247</c:v>
                </c:pt>
                <c:pt idx="39">
                  <c:v>0.2535</c:v>
                </c:pt>
                <c:pt idx="40">
                  <c:v>0.26</c:v>
                </c:pt>
                <c:pt idx="41">
                  <c:v>0.2665</c:v>
                </c:pt>
                <c:pt idx="42">
                  <c:v>0.273</c:v>
                </c:pt>
                <c:pt idx="43">
                  <c:v>0.2795</c:v>
                </c:pt>
                <c:pt idx="44">
                  <c:v>0.286</c:v>
                </c:pt>
                <c:pt idx="45">
                  <c:v>0.2925</c:v>
                </c:pt>
                <c:pt idx="46">
                  <c:v>0.299</c:v>
                </c:pt>
                <c:pt idx="47">
                  <c:v>0.3055</c:v>
                </c:pt>
                <c:pt idx="48">
                  <c:v>0.312</c:v>
                </c:pt>
                <c:pt idx="49">
                  <c:v>0.3185</c:v>
                </c:pt>
                <c:pt idx="50">
                  <c:v>0.325</c:v>
                </c:pt>
                <c:pt idx="51">
                  <c:v>0.3315</c:v>
                </c:pt>
                <c:pt idx="52">
                  <c:v>0.338</c:v>
                </c:pt>
                <c:pt idx="53">
                  <c:v>0.3445</c:v>
                </c:pt>
                <c:pt idx="54">
                  <c:v>0.351</c:v>
                </c:pt>
                <c:pt idx="55">
                  <c:v>0.3575</c:v>
                </c:pt>
                <c:pt idx="56">
                  <c:v>0.364</c:v>
                </c:pt>
                <c:pt idx="57">
                  <c:v>0.3705</c:v>
                </c:pt>
                <c:pt idx="58">
                  <c:v>0.377</c:v>
                </c:pt>
                <c:pt idx="59">
                  <c:v>0.3835</c:v>
                </c:pt>
                <c:pt idx="60">
                  <c:v>0.39</c:v>
                </c:pt>
                <c:pt idx="61">
                  <c:v>0.3965</c:v>
                </c:pt>
                <c:pt idx="62">
                  <c:v>0.403</c:v>
                </c:pt>
                <c:pt idx="63">
                  <c:v>0.4095</c:v>
                </c:pt>
                <c:pt idx="64">
                  <c:v>0.416</c:v>
                </c:pt>
                <c:pt idx="65">
                  <c:v>0.4225</c:v>
                </c:pt>
                <c:pt idx="66">
                  <c:v>0.429</c:v>
                </c:pt>
                <c:pt idx="67">
                  <c:v>0.4355</c:v>
                </c:pt>
                <c:pt idx="68">
                  <c:v>0.442</c:v>
                </c:pt>
                <c:pt idx="69">
                  <c:v>0.4485</c:v>
                </c:pt>
                <c:pt idx="70">
                  <c:v>0.455</c:v>
                </c:pt>
                <c:pt idx="71">
                  <c:v>0.4615</c:v>
                </c:pt>
                <c:pt idx="72">
                  <c:v>0.468</c:v>
                </c:pt>
                <c:pt idx="73">
                  <c:v>0.4745</c:v>
                </c:pt>
                <c:pt idx="74">
                  <c:v>0.481</c:v>
                </c:pt>
                <c:pt idx="75">
                  <c:v>0.4875</c:v>
                </c:pt>
                <c:pt idx="76">
                  <c:v>0.494</c:v>
                </c:pt>
                <c:pt idx="77">
                  <c:v>0.5005</c:v>
                </c:pt>
                <c:pt idx="78">
                  <c:v>0.507</c:v>
                </c:pt>
                <c:pt idx="79">
                  <c:v>0.5135</c:v>
                </c:pt>
                <c:pt idx="80">
                  <c:v>0.52</c:v>
                </c:pt>
                <c:pt idx="81">
                  <c:v>0.5265</c:v>
                </c:pt>
                <c:pt idx="82">
                  <c:v>0.533</c:v>
                </c:pt>
                <c:pt idx="83">
                  <c:v>0.5395</c:v>
                </c:pt>
                <c:pt idx="84">
                  <c:v>0.546</c:v>
                </c:pt>
                <c:pt idx="85">
                  <c:v>0.5525</c:v>
                </c:pt>
                <c:pt idx="86">
                  <c:v>0.559</c:v>
                </c:pt>
                <c:pt idx="87">
                  <c:v>0.5655</c:v>
                </c:pt>
                <c:pt idx="88">
                  <c:v>0.572</c:v>
                </c:pt>
                <c:pt idx="89">
                  <c:v>0.5785</c:v>
                </c:pt>
                <c:pt idx="90">
                  <c:v>0.585</c:v>
                </c:pt>
                <c:pt idx="91">
                  <c:v>0.5915</c:v>
                </c:pt>
                <c:pt idx="92">
                  <c:v>0.598</c:v>
                </c:pt>
                <c:pt idx="93">
                  <c:v>0.6045</c:v>
                </c:pt>
                <c:pt idx="94">
                  <c:v>0.611</c:v>
                </c:pt>
                <c:pt idx="95">
                  <c:v>0.6175</c:v>
                </c:pt>
                <c:pt idx="96">
                  <c:v>0.624</c:v>
                </c:pt>
                <c:pt idx="97">
                  <c:v>0.6305</c:v>
                </c:pt>
                <c:pt idx="98">
                  <c:v>0.637</c:v>
                </c:pt>
                <c:pt idx="99">
                  <c:v>0.6435</c:v>
                </c:pt>
                <c:pt idx="100">
                  <c:v>0.65</c:v>
                </c:pt>
                <c:pt idx="101">
                  <c:v>0.6565</c:v>
                </c:pt>
                <c:pt idx="102">
                  <c:v>0.663</c:v>
                </c:pt>
                <c:pt idx="103">
                  <c:v>0.6695</c:v>
                </c:pt>
                <c:pt idx="104">
                  <c:v>0.676</c:v>
                </c:pt>
                <c:pt idx="105">
                  <c:v>0.6825</c:v>
                </c:pt>
                <c:pt idx="106">
                  <c:v>0.689</c:v>
                </c:pt>
                <c:pt idx="107">
                  <c:v>0.6955</c:v>
                </c:pt>
                <c:pt idx="108">
                  <c:v>0.702</c:v>
                </c:pt>
                <c:pt idx="109">
                  <c:v>0.7085</c:v>
                </c:pt>
                <c:pt idx="110">
                  <c:v>0.715</c:v>
                </c:pt>
                <c:pt idx="111">
                  <c:v>0.7215</c:v>
                </c:pt>
                <c:pt idx="112">
                  <c:v>0.728</c:v>
                </c:pt>
                <c:pt idx="113">
                  <c:v>0.7345</c:v>
                </c:pt>
                <c:pt idx="114">
                  <c:v>0.741</c:v>
                </c:pt>
                <c:pt idx="115">
                  <c:v>0.7475</c:v>
                </c:pt>
                <c:pt idx="116">
                  <c:v>0.754</c:v>
                </c:pt>
                <c:pt idx="117">
                  <c:v>0.7605</c:v>
                </c:pt>
                <c:pt idx="118">
                  <c:v>0.767</c:v>
                </c:pt>
                <c:pt idx="119">
                  <c:v>0.7735</c:v>
                </c:pt>
                <c:pt idx="120">
                  <c:v>0.78</c:v>
                </c:pt>
                <c:pt idx="121">
                  <c:v>0.7865</c:v>
                </c:pt>
                <c:pt idx="122">
                  <c:v>0.793</c:v>
                </c:pt>
                <c:pt idx="123">
                  <c:v>0.7995</c:v>
                </c:pt>
                <c:pt idx="124">
                  <c:v>0.806</c:v>
                </c:pt>
                <c:pt idx="125">
                  <c:v>0.8125</c:v>
                </c:pt>
                <c:pt idx="126">
                  <c:v>0.819</c:v>
                </c:pt>
                <c:pt idx="127">
                  <c:v>0.8255</c:v>
                </c:pt>
                <c:pt idx="128">
                  <c:v>0.832</c:v>
                </c:pt>
                <c:pt idx="129">
                  <c:v>0.8385</c:v>
                </c:pt>
                <c:pt idx="130">
                  <c:v>0.845</c:v>
                </c:pt>
                <c:pt idx="131">
                  <c:v>0.8515</c:v>
                </c:pt>
                <c:pt idx="132">
                  <c:v>0.858</c:v>
                </c:pt>
                <c:pt idx="133">
                  <c:v>0.8645</c:v>
                </c:pt>
                <c:pt idx="134">
                  <c:v>0.871</c:v>
                </c:pt>
                <c:pt idx="135">
                  <c:v>0.8775</c:v>
                </c:pt>
                <c:pt idx="136">
                  <c:v>0.884</c:v>
                </c:pt>
                <c:pt idx="137">
                  <c:v>0.8905</c:v>
                </c:pt>
                <c:pt idx="138">
                  <c:v>0.897</c:v>
                </c:pt>
                <c:pt idx="139">
                  <c:v>0.9035</c:v>
                </c:pt>
                <c:pt idx="140">
                  <c:v>0.91</c:v>
                </c:pt>
                <c:pt idx="141">
                  <c:v>0.9165</c:v>
                </c:pt>
                <c:pt idx="142">
                  <c:v>0.923</c:v>
                </c:pt>
                <c:pt idx="143">
                  <c:v>0.9295</c:v>
                </c:pt>
                <c:pt idx="144">
                  <c:v>0.936</c:v>
                </c:pt>
                <c:pt idx="145">
                  <c:v>0.9425</c:v>
                </c:pt>
                <c:pt idx="146">
                  <c:v>0.949</c:v>
                </c:pt>
                <c:pt idx="147">
                  <c:v>0.9555</c:v>
                </c:pt>
                <c:pt idx="148">
                  <c:v>0.962</c:v>
                </c:pt>
                <c:pt idx="149">
                  <c:v>0.9685</c:v>
                </c:pt>
                <c:pt idx="150">
                  <c:v>0.975</c:v>
                </c:pt>
              </c:numCache>
            </c:numRef>
          </c:yVal>
          <c:smooth val="1"/>
        </c:ser>
        <c:ser>
          <c:idx val="3"/>
          <c:order val="3"/>
          <c:tx>
            <c:strRef>
              <c:f>"RCS"</c:f>
              <c:strCache>
                <c:ptCount val="1"/>
                <c:pt idx="0">
                  <c:v>RCS</c:v>
                </c:pt>
              </c:strCache>
            </c:strRef>
          </c:tx>
          <c:marker>
            <c:symbol val="none"/>
          </c:marker>
          <c:dLbls>
            <c:delete val="1"/>
          </c:dLbls>
          <c:xVal>
            <c:numRef>
              <c:f>Eff_vs_IOUT!$S$7:$S$157</c:f>
              <c:numCache>
                <c:formatCode>General</c:formatCode>
                <c:ptCount val="151"/>
                <c:pt idx="0">
                  <c:v>0</c:v>
                </c:pt>
                <c:pt idx="1">
                  <c:v>0.02</c:v>
                </c:pt>
                <c:pt idx="2">
                  <c:v>0.04</c:v>
                </c:pt>
                <c:pt idx="3">
                  <c:v>0.06</c:v>
                </c:pt>
                <c:pt idx="4">
                  <c:v>0.08</c:v>
                </c:pt>
                <c:pt idx="5">
                  <c:v>0.1</c:v>
                </c:pt>
                <c:pt idx="6">
                  <c:v>0.12</c:v>
                </c:pt>
                <c:pt idx="7">
                  <c:v>0.14</c:v>
                </c:pt>
                <c:pt idx="8">
                  <c:v>0.16</c:v>
                </c:pt>
                <c:pt idx="9">
                  <c:v>0.18</c:v>
                </c:pt>
                <c:pt idx="10">
                  <c:v>0.2</c:v>
                </c:pt>
                <c:pt idx="11">
                  <c:v>0.22</c:v>
                </c:pt>
                <c:pt idx="12">
                  <c:v>0.24</c:v>
                </c:pt>
                <c:pt idx="13">
                  <c:v>0.26</c:v>
                </c:pt>
                <c:pt idx="14">
                  <c:v>0.28</c:v>
                </c:pt>
                <c:pt idx="15">
                  <c:v>0.3</c:v>
                </c:pt>
                <c:pt idx="16">
                  <c:v>0.32</c:v>
                </c:pt>
                <c:pt idx="17">
                  <c:v>0.34</c:v>
                </c:pt>
                <c:pt idx="18">
                  <c:v>0.36</c:v>
                </c:pt>
                <c:pt idx="19">
                  <c:v>0.38</c:v>
                </c:pt>
                <c:pt idx="20">
                  <c:v>0.4</c:v>
                </c:pt>
                <c:pt idx="21">
                  <c:v>0.42</c:v>
                </c:pt>
                <c:pt idx="22">
                  <c:v>0.44</c:v>
                </c:pt>
                <c:pt idx="23">
                  <c:v>0.46</c:v>
                </c:pt>
                <c:pt idx="24">
                  <c:v>0.48</c:v>
                </c:pt>
                <c:pt idx="25">
                  <c:v>0.5</c:v>
                </c:pt>
                <c:pt idx="26">
                  <c:v>0.52</c:v>
                </c:pt>
                <c:pt idx="27">
                  <c:v>0.54</c:v>
                </c:pt>
                <c:pt idx="28">
                  <c:v>0.56</c:v>
                </c:pt>
                <c:pt idx="29">
                  <c:v>0.58</c:v>
                </c:pt>
                <c:pt idx="30">
                  <c:v>0.6</c:v>
                </c:pt>
                <c:pt idx="31">
                  <c:v>0.62</c:v>
                </c:pt>
                <c:pt idx="32">
                  <c:v>0.64</c:v>
                </c:pt>
                <c:pt idx="33">
                  <c:v>0.66</c:v>
                </c:pt>
                <c:pt idx="34">
                  <c:v>0.68</c:v>
                </c:pt>
                <c:pt idx="35">
                  <c:v>0.7</c:v>
                </c:pt>
                <c:pt idx="36">
                  <c:v>0.72</c:v>
                </c:pt>
                <c:pt idx="37">
                  <c:v>0.74</c:v>
                </c:pt>
                <c:pt idx="38">
                  <c:v>0.76</c:v>
                </c:pt>
                <c:pt idx="39">
                  <c:v>0.78</c:v>
                </c:pt>
                <c:pt idx="40">
                  <c:v>0.8</c:v>
                </c:pt>
                <c:pt idx="41">
                  <c:v>0.82</c:v>
                </c:pt>
                <c:pt idx="42">
                  <c:v>0.84</c:v>
                </c:pt>
                <c:pt idx="43">
                  <c:v>0.86</c:v>
                </c:pt>
                <c:pt idx="44">
                  <c:v>0.88</c:v>
                </c:pt>
                <c:pt idx="45">
                  <c:v>0.9</c:v>
                </c:pt>
                <c:pt idx="46">
                  <c:v>0.92</c:v>
                </c:pt>
                <c:pt idx="47">
                  <c:v>0.94</c:v>
                </c:pt>
                <c:pt idx="48">
                  <c:v>0.96</c:v>
                </c:pt>
                <c:pt idx="49">
                  <c:v>0.98</c:v>
                </c:pt>
                <c:pt idx="50">
                  <c:v>1</c:v>
                </c:pt>
                <c:pt idx="51">
                  <c:v>1.02</c:v>
                </c:pt>
                <c:pt idx="52">
                  <c:v>1.04</c:v>
                </c:pt>
                <c:pt idx="53">
                  <c:v>1.06</c:v>
                </c:pt>
                <c:pt idx="54">
                  <c:v>1.08</c:v>
                </c:pt>
                <c:pt idx="55">
                  <c:v>1.1</c:v>
                </c:pt>
                <c:pt idx="56">
                  <c:v>1.12</c:v>
                </c:pt>
                <c:pt idx="57">
                  <c:v>1.14</c:v>
                </c:pt>
                <c:pt idx="58">
                  <c:v>1.16</c:v>
                </c:pt>
                <c:pt idx="59">
                  <c:v>1.18</c:v>
                </c:pt>
                <c:pt idx="60">
                  <c:v>1.2</c:v>
                </c:pt>
                <c:pt idx="61">
                  <c:v>1.22</c:v>
                </c:pt>
                <c:pt idx="62">
                  <c:v>1.24</c:v>
                </c:pt>
                <c:pt idx="63">
                  <c:v>1.26</c:v>
                </c:pt>
                <c:pt idx="64">
                  <c:v>1.28</c:v>
                </c:pt>
                <c:pt idx="65">
                  <c:v>1.3</c:v>
                </c:pt>
                <c:pt idx="66">
                  <c:v>1.32</c:v>
                </c:pt>
                <c:pt idx="67">
                  <c:v>1.34</c:v>
                </c:pt>
                <c:pt idx="68">
                  <c:v>1.36</c:v>
                </c:pt>
                <c:pt idx="69">
                  <c:v>1.38</c:v>
                </c:pt>
                <c:pt idx="70">
                  <c:v>1.4</c:v>
                </c:pt>
                <c:pt idx="71">
                  <c:v>1.42</c:v>
                </c:pt>
                <c:pt idx="72">
                  <c:v>1.44</c:v>
                </c:pt>
                <c:pt idx="73">
                  <c:v>1.46</c:v>
                </c:pt>
                <c:pt idx="74">
                  <c:v>1.48</c:v>
                </c:pt>
                <c:pt idx="75">
                  <c:v>1.5</c:v>
                </c:pt>
                <c:pt idx="76">
                  <c:v>1.52</c:v>
                </c:pt>
                <c:pt idx="77">
                  <c:v>1.54</c:v>
                </c:pt>
                <c:pt idx="78">
                  <c:v>1.56</c:v>
                </c:pt>
                <c:pt idx="79">
                  <c:v>1.58</c:v>
                </c:pt>
                <c:pt idx="80">
                  <c:v>1.6</c:v>
                </c:pt>
                <c:pt idx="81">
                  <c:v>1.62</c:v>
                </c:pt>
                <c:pt idx="82">
                  <c:v>1.64</c:v>
                </c:pt>
                <c:pt idx="83">
                  <c:v>1.66</c:v>
                </c:pt>
                <c:pt idx="84">
                  <c:v>1.68</c:v>
                </c:pt>
                <c:pt idx="85">
                  <c:v>1.7</c:v>
                </c:pt>
                <c:pt idx="86">
                  <c:v>1.72</c:v>
                </c:pt>
                <c:pt idx="87">
                  <c:v>1.74</c:v>
                </c:pt>
                <c:pt idx="88">
                  <c:v>1.76</c:v>
                </c:pt>
                <c:pt idx="89">
                  <c:v>1.78</c:v>
                </c:pt>
                <c:pt idx="90">
                  <c:v>1.8</c:v>
                </c:pt>
                <c:pt idx="91">
                  <c:v>1.82</c:v>
                </c:pt>
                <c:pt idx="92">
                  <c:v>1.84</c:v>
                </c:pt>
                <c:pt idx="93">
                  <c:v>1.86</c:v>
                </c:pt>
                <c:pt idx="94">
                  <c:v>1.88</c:v>
                </c:pt>
                <c:pt idx="95">
                  <c:v>1.9</c:v>
                </c:pt>
                <c:pt idx="96">
                  <c:v>1.92</c:v>
                </c:pt>
                <c:pt idx="97">
                  <c:v>1.94</c:v>
                </c:pt>
                <c:pt idx="98">
                  <c:v>1.96</c:v>
                </c:pt>
                <c:pt idx="99">
                  <c:v>1.98</c:v>
                </c:pt>
                <c:pt idx="100">
                  <c:v>2</c:v>
                </c:pt>
                <c:pt idx="101">
                  <c:v>2.02</c:v>
                </c:pt>
                <c:pt idx="102">
                  <c:v>2.04</c:v>
                </c:pt>
                <c:pt idx="103">
                  <c:v>2.06</c:v>
                </c:pt>
                <c:pt idx="104">
                  <c:v>2.08</c:v>
                </c:pt>
                <c:pt idx="105">
                  <c:v>2.1</c:v>
                </c:pt>
                <c:pt idx="106">
                  <c:v>2.12</c:v>
                </c:pt>
                <c:pt idx="107">
                  <c:v>2.14</c:v>
                </c:pt>
                <c:pt idx="108">
                  <c:v>2.16</c:v>
                </c:pt>
                <c:pt idx="109">
                  <c:v>2.18</c:v>
                </c:pt>
                <c:pt idx="110">
                  <c:v>2.2</c:v>
                </c:pt>
                <c:pt idx="111">
                  <c:v>2.22</c:v>
                </c:pt>
                <c:pt idx="112">
                  <c:v>2.24</c:v>
                </c:pt>
                <c:pt idx="113">
                  <c:v>2.26</c:v>
                </c:pt>
                <c:pt idx="114">
                  <c:v>2.28</c:v>
                </c:pt>
                <c:pt idx="115">
                  <c:v>2.3</c:v>
                </c:pt>
                <c:pt idx="116">
                  <c:v>2.32</c:v>
                </c:pt>
                <c:pt idx="117">
                  <c:v>2.34</c:v>
                </c:pt>
                <c:pt idx="118">
                  <c:v>2.36</c:v>
                </c:pt>
                <c:pt idx="119">
                  <c:v>2.38</c:v>
                </c:pt>
                <c:pt idx="120">
                  <c:v>2.4</c:v>
                </c:pt>
                <c:pt idx="121">
                  <c:v>2.42</c:v>
                </c:pt>
                <c:pt idx="122">
                  <c:v>2.44</c:v>
                </c:pt>
                <c:pt idx="123">
                  <c:v>2.46</c:v>
                </c:pt>
                <c:pt idx="124">
                  <c:v>2.48</c:v>
                </c:pt>
                <c:pt idx="125">
                  <c:v>2.5</c:v>
                </c:pt>
                <c:pt idx="126">
                  <c:v>2.52</c:v>
                </c:pt>
                <c:pt idx="127">
                  <c:v>2.54</c:v>
                </c:pt>
                <c:pt idx="128">
                  <c:v>2.56</c:v>
                </c:pt>
                <c:pt idx="129">
                  <c:v>2.58</c:v>
                </c:pt>
                <c:pt idx="130">
                  <c:v>2.6</c:v>
                </c:pt>
                <c:pt idx="131">
                  <c:v>2.62</c:v>
                </c:pt>
                <c:pt idx="132">
                  <c:v>2.64</c:v>
                </c:pt>
                <c:pt idx="133">
                  <c:v>2.66</c:v>
                </c:pt>
                <c:pt idx="134">
                  <c:v>2.68</c:v>
                </c:pt>
                <c:pt idx="135">
                  <c:v>2.7</c:v>
                </c:pt>
                <c:pt idx="136">
                  <c:v>2.72</c:v>
                </c:pt>
                <c:pt idx="137">
                  <c:v>2.74</c:v>
                </c:pt>
                <c:pt idx="138">
                  <c:v>2.76</c:v>
                </c:pt>
                <c:pt idx="139">
                  <c:v>2.78</c:v>
                </c:pt>
                <c:pt idx="140">
                  <c:v>2.8</c:v>
                </c:pt>
                <c:pt idx="141">
                  <c:v>2.82</c:v>
                </c:pt>
                <c:pt idx="142">
                  <c:v>2.84</c:v>
                </c:pt>
                <c:pt idx="143">
                  <c:v>2.86</c:v>
                </c:pt>
                <c:pt idx="144">
                  <c:v>2.88</c:v>
                </c:pt>
                <c:pt idx="145">
                  <c:v>2.9</c:v>
                </c:pt>
                <c:pt idx="146">
                  <c:v>2.92</c:v>
                </c:pt>
                <c:pt idx="147">
                  <c:v>2.94</c:v>
                </c:pt>
                <c:pt idx="148">
                  <c:v>2.96</c:v>
                </c:pt>
                <c:pt idx="149">
                  <c:v>2.98</c:v>
                </c:pt>
                <c:pt idx="150">
                  <c:v>3</c:v>
                </c:pt>
              </c:numCache>
            </c:numRef>
          </c:xVal>
          <c:yVal>
            <c:numRef>
              <c:f>Eff_vs_IOUT!$AO$7:$AO$157</c:f>
              <c:numCache>
                <c:formatCode>General</c:formatCode>
                <c:ptCount val="151"/>
                <c:pt idx="0">
                  <c:v>0</c:v>
                </c:pt>
                <c:pt idx="1">
                  <c:v>0.00052590085424733</c:v>
                </c:pt>
                <c:pt idx="2">
                  <c:v>0.00058896447467876</c:v>
                </c:pt>
                <c:pt idx="3">
                  <c:v>0.00108896447467876</c:v>
                </c:pt>
                <c:pt idx="4">
                  <c:v>0.00178896447467876</c:v>
                </c:pt>
                <c:pt idx="5">
                  <c:v>0.00268896447467876</c:v>
                </c:pt>
                <c:pt idx="6">
                  <c:v>0.00378896447467876</c:v>
                </c:pt>
                <c:pt idx="7">
                  <c:v>0.00508896447467876</c:v>
                </c:pt>
                <c:pt idx="8">
                  <c:v>0.00658896447467876</c:v>
                </c:pt>
                <c:pt idx="9">
                  <c:v>0.00828896447467876</c:v>
                </c:pt>
                <c:pt idx="10">
                  <c:v>0.0101889644746788</c:v>
                </c:pt>
                <c:pt idx="11">
                  <c:v>0.0122889644746788</c:v>
                </c:pt>
                <c:pt idx="12">
                  <c:v>0.0145889644746788</c:v>
                </c:pt>
                <c:pt idx="13">
                  <c:v>0.0170889644746788</c:v>
                </c:pt>
                <c:pt idx="14">
                  <c:v>0.0197889644746788</c:v>
                </c:pt>
                <c:pt idx="15">
                  <c:v>0.0226889644746788</c:v>
                </c:pt>
                <c:pt idx="16">
                  <c:v>0.0257889644746788</c:v>
                </c:pt>
                <c:pt idx="17">
                  <c:v>0.0290889644746788</c:v>
                </c:pt>
                <c:pt idx="18">
                  <c:v>0.0325889644746788</c:v>
                </c:pt>
                <c:pt idx="19">
                  <c:v>0.0362889644746788</c:v>
                </c:pt>
                <c:pt idx="20">
                  <c:v>0.0401889644746788</c:v>
                </c:pt>
                <c:pt idx="21">
                  <c:v>0.0442889644746788</c:v>
                </c:pt>
                <c:pt idx="22">
                  <c:v>0.0485889644746788</c:v>
                </c:pt>
                <c:pt idx="23">
                  <c:v>0.0530889644746788</c:v>
                </c:pt>
                <c:pt idx="24">
                  <c:v>0.0577889644746788</c:v>
                </c:pt>
                <c:pt idx="25">
                  <c:v>0.0626889644746788</c:v>
                </c:pt>
                <c:pt idx="26">
                  <c:v>0.0677889644746788</c:v>
                </c:pt>
                <c:pt idx="27">
                  <c:v>0.0730889644746788</c:v>
                </c:pt>
                <c:pt idx="28">
                  <c:v>0.0785889644746788</c:v>
                </c:pt>
                <c:pt idx="29">
                  <c:v>0.0842889644746788</c:v>
                </c:pt>
                <c:pt idx="30">
                  <c:v>0.0901889644746788</c:v>
                </c:pt>
                <c:pt idx="31">
                  <c:v>0.0962889644746788</c:v>
                </c:pt>
                <c:pt idx="32">
                  <c:v>0.102588964474679</c:v>
                </c:pt>
                <c:pt idx="33">
                  <c:v>0.109088964474679</c:v>
                </c:pt>
                <c:pt idx="34">
                  <c:v>0.115788964474679</c:v>
                </c:pt>
                <c:pt idx="35">
                  <c:v>0.122688964474679</c:v>
                </c:pt>
                <c:pt idx="36">
                  <c:v>0.129788964474679</c:v>
                </c:pt>
                <c:pt idx="37">
                  <c:v>0.137088964474679</c:v>
                </c:pt>
                <c:pt idx="38">
                  <c:v>0.144588964474679</c:v>
                </c:pt>
                <c:pt idx="39">
                  <c:v>0.152288964474679</c:v>
                </c:pt>
                <c:pt idx="40">
                  <c:v>0.160188964474679</c:v>
                </c:pt>
                <c:pt idx="41">
                  <c:v>0.168288964474679</c:v>
                </c:pt>
                <c:pt idx="42">
                  <c:v>0.176588964474679</c:v>
                </c:pt>
                <c:pt idx="43">
                  <c:v>0.185088964474679</c:v>
                </c:pt>
                <c:pt idx="44">
                  <c:v>0.193788964474679</c:v>
                </c:pt>
                <c:pt idx="45">
                  <c:v>0.202688964474679</c:v>
                </c:pt>
                <c:pt idx="46">
                  <c:v>0.211788964474679</c:v>
                </c:pt>
                <c:pt idx="47">
                  <c:v>0.221088964474679</c:v>
                </c:pt>
                <c:pt idx="48">
                  <c:v>0.230588964474679</c:v>
                </c:pt>
                <c:pt idx="49">
                  <c:v>0.240288964474679</c:v>
                </c:pt>
                <c:pt idx="50">
                  <c:v>0.250188964474679</c:v>
                </c:pt>
                <c:pt idx="51">
                  <c:v>0.260288964474679</c:v>
                </c:pt>
                <c:pt idx="52">
                  <c:v>0.270588964474679</c:v>
                </c:pt>
                <c:pt idx="53">
                  <c:v>0.281088964474679</c:v>
                </c:pt>
                <c:pt idx="54">
                  <c:v>0.291788964474679</c:v>
                </c:pt>
                <c:pt idx="55">
                  <c:v>0.302688964474679</c:v>
                </c:pt>
                <c:pt idx="56">
                  <c:v>0.313788964474679</c:v>
                </c:pt>
                <c:pt idx="57">
                  <c:v>0.325088964474679</c:v>
                </c:pt>
                <c:pt idx="58">
                  <c:v>0.336588964474679</c:v>
                </c:pt>
                <c:pt idx="59">
                  <c:v>0.348288964474679</c:v>
                </c:pt>
                <c:pt idx="60">
                  <c:v>0.360188964474679</c:v>
                </c:pt>
                <c:pt idx="61">
                  <c:v>0.372288964474679</c:v>
                </c:pt>
                <c:pt idx="62">
                  <c:v>0.384588964474679</c:v>
                </c:pt>
                <c:pt idx="63">
                  <c:v>0.397088964474679</c:v>
                </c:pt>
                <c:pt idx="64">
                  <c:v>0.409788964474679</c:v>
                </c:pt>
                <c:pt idx="65">
                  <c:v>0.422688964474679</c:v>
                </c:pt>
                <c:pt idx="66">
                  <c:v>0.435788964474679</c:v>
                </c:pt>
                <c:pt idx="67">
                  <c:v>0.449088964474679</c:v>
                </c:pt>
                <c:pt idx="68">
                  <c:v>0.462588964474679</c:v>
                </c:pt>
                <c:pt idx="69">
                  <c:v>0.476288964474679</c:v>
                </c:pt>
                <c:pt idx="70">
                  <c:v>0.490188964474679</c:v>
                </c:pt>
                <c:pt idx="71">
                  <c:v>0.504288964474679</c:v>
                </c:pt>
                <c:pt idx="72">
                  <c:v>0.518588964474679</c:v>
                </c:pt>
                <c:pt idx="73">
                  <c:v>0.533088964474679</c:v>
                </c:pt>
                <c:pt idx="74">
                  <c:v>0.547788964474679</c:v>
                </c:pt>
                <c:pt idx="75">
                  <c:v>0.562688964474679</c:v>
                </c:pt>
                <c:pt idx="76">
                  <c:v>0.577788964474679</c:v>
                </c:pt>
                <c:pt idx="77">
                  <c:v>0.593088964474679</c:v>
                </c:pt>
                <c:pt idx="78">
                  <c:v>0.608588964474679</c:v>
                </c:pt>
                <c:pt idx="79">
                  <c:v>0.624288964474679</c:v>
                </c:pt>
                <c:pt idx="80">
                  <c:v>0.640188964474679</c:v>
                </c:pt>
                <c:pt idx="81">
                  <c:v>0.656288964474679</c:v>
                </c:pt>
                <c:pt idx="82">
                  <c:v>0.672588964474679</c:v>
                </c:pt>
                <c:pt idx="83">
                  <c:v>0.689088964474679</c:v>
                </c:pt>
                <c:pt idx="84">
                  <c:v>0.705788964474679</c:v>
                </c:pt>
                <c:pt idx="85">
                  <c:v>0.722688964474679</c:v>
                </c:pt>
                <c:pt idx="86">
                  <c:v>0.739788964474679</c:v>
                </c:pt>
                <c:pt idx="87">
                  <c:v>0.757088964474679</c:v>
                </c:pt>
                <c:pt idx="88">
                  <c:v>0.774588964474679</c:v>
                </c:pt>
                <c:pt idx="89">
                  <c:v>0.792288964474679</c:v>
                </c:pt>
                <c:pt idx="90">
                  <c:v>0.810188964474679</c:v>
                </c:pt>
                <c:pt idx="91">
                  <c:v>0.828288964474679</c:v>
                </c:pt>
                <c:pt idx="92">
                  <c:v>0.846588964474679</c:v>
                </c:pt>
                <c:pt idx="93">
                  <c:v>0.865088964474679</c:v>
                </c:pt>
                <c:pt idx="94">
                  <c:v>0.883788964474679</c:v>
                </c:pt>
                <c:pt idx="95">
                  <c:v>0.902688964474679</c:v>
                </c:pt>
                <c:pt idx="96">
                  <c:v>0.921788964474679</c:v>
                </c:pt>
                <c:pt idx="97">
                  <c:v>0.941088964474679</c:v>
                </c:pt>
                <c:pt idx="98">
                  <c:v>0.960588964474679</c:v>
                </c:pt>
                <c:pt idx="99">
                  <c:v>0.980288964474679</c:v>
                </c:pt>
                <c:pt idx="100">
                  <c:v>1.00018896447468</c:v>
                </c:pt>
                <c:pt idx="101">
                  <c:v>1.02028896447468</c:v>
                </c:pt>
                <c:pt idx="102">
                  <c:v>1.04058896447468</c:v>
                </c:pt>
                <c:pt idx="103">
                  <c:v>1.06108896447468</c:v>
                </c:pt>
                <c:pt idx="104">
                  <c:v>1.08178896447468</c:v>
                </c:pt>
                <c:pt idx="105">
                  <c:v>1.10268896447468</c:v>
                </c:pt>
                <c:pt idx="106">
                  <c:v>1.12378896447468</c:v>
                </c:pt>
                <c:pt idx="107">
                  <c:v>1.14508896447468</c:v>
                </c:pt>
                <c:pt idx="108">
                  <c:v>1.16658896447468</c:v>
                </c:pt>
                <c:pt idx="109">
                  <c:v>1.18828896447468</c:v>
                </c:pt>
                <c:pt idx="110">
                  <c:v>1.21018896447468</c:v>
                </c:pt>
                <c:pt idx="111">
                  <c:v>1.23228896447468</c:v>
                </c:pt>
                <c:pt idx="112">
                  <c:v>1.25458896447468</c:v>
                </c:pt>
                <c:pt idx="113">
                  <c:v>1.27708896447468</c:v>
                </c:pt>
                <c:pt idx="114">
                  <c:v>1.29978896447468</c:v>
                </c:pt>
                <c:pt idx="115">
                  <c:v>1.32268896447468</c:v>
                </c:pt>
                <c:pt idx="116">
                  <c:v>1.34578896447468</c:v>
                </c:pt>
                <c:pt idx="117">
                  <c:v>1.36908896447468</c:v>
                </c:pt>
                <c:pt idx="118">
                  <c:v>1.39258896447468</c:v>
                </c:pt>
                <c:pt idx="119">
                  <c:v>1.41628896447468</c:v>
                </c:pt>
                <c:pt idx="120">
                  <c:v>1.44018896447468</c:v>
                </c:pt>
                <c:pt idx="121">
                  <c:v>1.46428896447468</c:v>
                </c:pt>
                <c:pt idx="122">
                  <c:v>1.48858896447468</c:v>
                </c:pt>
                <c:pt idx="123">
                  <c:v>1.51308896447468</c:v>
                </c:pt>
                <c:pt idx="124">
                  <c:v>1.53778896447468</c:v>
                </c:pt>
                <c:pt idx="125">
                  <c:v>1.56268896447468</c:v>
                </c:pt>
                <c:pt idx="126">
                  <c:v>1.58778896447468</c:v>
                </c:pt>
                <c:pt idx="127">
                  <c:v>1.61308896447468</c:v>
                </c:pt>
                <c:pt idx="128">
                  <c:v>1.63858896447468</c:v>
                </c:pt>
                <c:pt idx="129">
                  <c:v>1.66428896447468</c:v>
                </c:pt>
                <c:pt idx="130">
                  <c:v>1.69018896447468</c:v>
                </c:pt>
                <c:pt idx="131">
                  <c:v>1.71628896447468</c:v>
                </c:pt>
                <c:pt idx="132">
                  <c:v>1.74258896447468</c:v>
                </c:pt>
                <c:pt idx="133">
                  <c:v>1.76908896447468</c:v>
                </c:pt>
                <c:pt idx="134">
                  <c:v>1.79578896447468</c:v>
                </c:pt>
                <c:pt idx="135">
                  <c:v>1.82268896447468</c:v>
                </c:pt>
                <c:pt idx="136">
                  <c:v>1.84978896447468</c:v>
                </c:pt>
                <c:pt idx="137">
                  <c:v>1.87708896447468</c:v>
                </c:pt>
                <c:pt idx="138">
                  <c:v>1.90458896447468</c:v>
                </c:pt>
                <c:pt idx="139">
                  <c:v>1.93228896447468</c:v>
                </c:pt>
                <c:pt idx="140">
                  <c:v>1.96018896447468</c:v>
                </c:pt>
                <c:pt idx="141">
                  <c:v>1.98828896447468</c:v>
                </c:pt>
                <c:pt idx="142">
                  <c:v>2.01658896447468</c:v>
                </c:pt>
                <c:pt idx="143">
                  <c:v>2.04508896447468</c:v>
                </c:pt>
                <c:pt idx="144">
                  <c:v>2.07378896447468</c:v>
                </c:pt>
                <c:pt idx="145">
                  <c:v>2.10268896447468</c:v>
                </c:pt>
                <c:pt idx="146">
                  <c:v>2.13178896447468</c:v>
                </c:pt>
                <c:pt idx="147">
                  <c:v>2.16108896447468</c:v>
                </c:pt>
                <c:pt idx="148">
                  <c:v>2.19058896447468</c:v>
                </c:pt>
                <c:pt idx="149">
                  <c:v>2.22028896447468</c:v>
                </c:pt>
                <c:pt idx="150">
                  <c:v>2.25018896447468</c:v>
                </c:pt>
              </c:numCache>
            </c:numRef>
          </c:yVal>
          <c:smooth val="1"/>
        </c:ser>
        <c:dLbls>
          <c:showLegendKey val="0"/>
          <c:showVal val="0"/>
          <c:showCatName val="0"/>
          <c:showSerName val="0"/>
          <c:showPercent val="0"/>
          <c:showBubbleSize val="0"/>
        </c:dLbls>
        <c:axId val="175652224"/>
        <c:axId val="175650688"/>
      </c:scatterChart>
      <c:valAx>
        <c:axId val="175638784"/>
        <c:scaling>
          <c:orientation val="minMax"/>
          <c:max val="6"/>
        </c:scaling>
        <c:delete val="0"/>
        <c:axPos val="b"/>
        <c:majorGridlines/>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648768"/>
        <c:crosses val="autoZero"/>
        <c:crossBetween val="midCat"/>
      </c:valAx>
      <c:valAx>
        <c:axId val="175648768"/>
        <c:scaling>
          <c:orientation val="minMax"/>
          <c:max val="100"/>
          <c:min val="60"/>
        </c:scaling>
        <c:delete val="0"/>
        <c:axPos val="l"/>
        <c:majorGridlines/>
        <c:title>
          <c:layout/>
          <c:overlay val="0"/>
          <c:txPr>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p>
          </c:txPr>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638784"/>
        <c:crosses val="autoZero"/>
        <c:crossBetween val="midCat"/>
      </c:valAx>
      <c:valAx>
        <c:axId val="175652224"/>
        <c:scaling>
          <c:orientation val="minMax"/>
        </c:scaling>
        <c:delete val="1"/>
        <c:axPos val="b"/>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650688"/>
        <c:crosses val="autoZero"/>
        <c:crossBetween val="midCat"/>
      </c:valAx>
      <c:valAx>
        <c:axId val="175650688"/>
        <c:scaling>
          <c:orientation val="minMax"/>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652224"/>
        <c:crosses val="max"/>
        <c:crossBetween val="midCat"/>
      </c:valAx>
    </c:plotArea>
    <c:legend>
      <c:legendPos val="r"/>
      <c:layout/>
      <c:overlay val="1"/>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f6eea4e-b311-416f-b1dc-ac8101a9df17}"/>
      </c:ext>
    </c:extLst>
  </c:chart>
  <c:txPr>
    <a:bodyPr/>
    <a:lstStyle/>
    <a:p>
      <a:pPr>
        <a:defRPr lang="pl-PL"/>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a:t>CCM Plant Transfer</a:t>
            </a:r>
            <a:r>
              <a:rPr lang="en-US" baseline="0"/>
              <a:t> Function</a:t>
            </a:r>
            <a:endParaRPr lang="en-US"/>
          </a:p>
        </c:rich>
      </c:tx>
      <c:layout/>
      <c:overlay val="0"/>
    </c:title>
    <c:autoTitleDeleted val="0"/>
    <c:plotArea>
      <c:layout/>
      <c:scatterChart>
        <c:scatterStyle val="smooth"/>
        <c:varyColors val="0"/>
        <c:ser>
          <c:idx val="0"/>
          <c:order val="0"/>
          <c:tx>
            <c:strRef>
              <c:f>"Gain(dB)"</c:f>
              <c:strCache>
                <c:ptCount val="1"/>
                <c:pt idx="0">
                  <c:v>Gain(dB)</c:v>
                </c:pt>
              </c:strCache>
            </c:strRef>
          </c:tx>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Loop_Modeling!$AD$19:$AD$560</c:f>
              <c:numCache>
                <c:formatCode>0.000</c:formatCode>
                <c:ptCount val="542"/>
                <c:pt idx="0">
                  <c:v>34.6613945294488</c:v>
                </c:pt>
                <c:pt idx="1">
                  <c:v>34.6579483051816</c:v>
                </c:pt>
                <c:pt idx="2">
                  <c:v>34.6543425972368</c:v>
                </c:pt>
                <c:pt idx="3">
                  <c:v>34.6505701669014</c:v>
                </c:pt>
                <c:pt idx="4">
                  <c:v>34.6466234603115</c:v>
                </c:pt>
                <c:pt idx="5">
                  <c:v>34.6424945959966</c:v>
                </c:pt>
                <c:pt idx="6">
                  <c:v>34.6381753520513</c:v>
                </c:pt>
                <c:pt idx="7">
                  <c:v>34.633657152937</c:v>
                </c:pt>
                <c:pt idx="8">
                  <c:v>34.6289310559149</c:v>
                </c:pt>
                <c:pt idx="9">
                  <c:v>34.6239877371153</c:v>
                </c:pt>
                <c:pt idx="10">
                  <c:v>34.6188174772488</c:v>
                </c:pt>
                <c:pt idx="11">
                  <c:v>34.6134101469676</c:v>
                </c:pt>
                <c:pt idx="12">
                  <c:v>34.6077551918881</c:v>
                </c:pt>
                <c:pt idx="13">
                  <c:v>34.6018416172867</c:v>
                </c:pt>
                <c:pt idx="14">
                  <c:v>34.5956579724855</c:v>
                </c:pt>
                <c:pt idx="15">
                  <c:v>34.5891923349458</c:v>
                </c:pt>
                <c:pt idx="16">
                  <c:v>34.582432294093</c:v>
                </c:pt>
                <c:pt idx="17">
                  <c:v>34.5753649348962</c:v>
                </c:pt>
                <c:pt idx="18">
                  <c:v>34.5679768212339</c:v>
                </c:pt>
                <c:pt idx="19">
                  <c:v>34.5602539790788</c:v>
                </c:pt>
                <c:pt idx="20">
                  <c:v>34.552181879539</c:v>
                </c:pt>
                <c:pt idx="21">
                  <c:v>34.5437454218003</c:v>
                </c:pt>
                <c:pt idx="22">
                  <c:v>34.5349289160151</c:v>
                </c:pt>
                <c:pt idx="23">
                  <c:v>34.5257160661939</c:v>
                </c:pt>
                <c:pt idx="24">
                  <c:v>34.5160899531563</c:v>
                </c:pt>
                <c:pt idx="25">
                  <c:v>34.5060330176092</c:v>
                </c:pt>
                <c:pt idx="26">
                  <c:v>34.495527043422</c:v>
                </c:pt>
                <c:pt idx="27">
                  <c:v>34.4845531411783</c:v>
                </c:pt>
                <c:pt idx="28">
                  <c:v>34.4730917320912</c:v>
                </c:pt>
                <c:pt idx="29">
                  <c:v>34.4611225323722</c:v>
                </c:pt>
                <c:pt idx="30">
                  <c:v>34.4486245381586</c:v>
                </c:pt>
                <c:pt idx="31">
                  <c:v>34.4355760111049</c:v>
                </c:pt>
                <c:pt idx="32">
                  <c:v>34.4219544647573</c:v>
                </c:pt>
                <c:pt idx="33">
                  <c:v>34.4077366518353</c:v>
                </c:pt>
                <c:pt idx="34">
                  <c:v>34.3928985525556</c:v>
                </c:pt>
                <c:pt idx="35">
                  <c:v>34.3774153641391</c:v>
                </c:pt>
                <c:pt idx="36">
                  <c:v>34.3612614916519</c:v>
                </c:pt>
                <c:pt idx="37">
                  <c:v>34.34441054034</c:v>
                </c:pt>
                <c:pt idx="38">
                  <c:v>34.3268353096239</c:v>
                </c:pt>
                <c:pt idx="39">
                  <c:v>34.3085077889275</c:v>
                </c:pt>
                <c:pt idx="40">
                  <c:v>34.2893991555244</c:v>
                </c:pt>
                <c:pt idx="41">
                  <c:v>34.2694797745886</c:v>
                </c:pt>
                <c:pt idx="42">
                  <c:v>34.2487192016451</c:v>
                </c:pt>
                <c:pt idx="43">
                  <c:v>34.22708618762</c:v>
                </c:pt>
                <c:pt idx="44">
                  <c:v>34.2045486866922</c:v>
                </c:pt>
                <c:pt idx="45">
                  <c:v>34.1810738671536</c:v>
                </c:pt>
                <c:pt idx="46">
                  <c:v>34.156628125485</c:v>
                </c:pt>
                <c:pt idx="47">
                  <c:v>34.1311771038529</c:v>
                </c:pt>
                <c:pt idx="48">
                  <c:v>34.1046857112322</c:v>
                </c:pt>
                <c:pt idx="49">
                  <c:v>34.0771181483549</c:v>
                </c:pt>
                <c:pt idx="50">
                  <c:v>34.0484379366745</c:v>
                </c:pt>
                <c:pt idx="51">
                  <c:v>34.0186079515328</c:v>
                </c:pt>
                <c:pt idx="52">
                  <c:v>33.987590459697</c:v>
                </c:pt>
                <c:pt idx="53">
                  <c:v>33.955347161425</c:v>
                </c:pt>
                <c:pt idx="54">
                  <c:v>33.921839237195</c:v>
                </c:pt>
                <c:pt idx="55">
                  <c:v>33.8870273992173</c:v>
                </c:pt>
                <c:pt idx="56">
                  <c:v>33.8508719478174</c:v>
                </c:pt>
                <c:pt idx="57">
                  <c:v>33.8133328327571</c:v>
                </c:pt>
                <c:pt idx="58">
                  <c:v>33.7743697195222</c:v>
                </c:pt>
                <c:pt idx="59">
                  <c:v>33.7339420605761</c:v>
                </c:pt>
                <c:pt idx="60">
                  <c:v>33.692009171536</c:v>
                </c:pt>
                <c:pt idx="61">
                  <c:v>33.6485303121902</c:v>
                </c:pt>
                <c:pt idx="62">
                  <c:v>33.6034647722288</c:v>
                </c:pt>
                <c:pt idx="63">
                  <c:v>33.5567719615131</c:v>
                </c:pt>
                <c:pt idx="64">
                  <c:v>33.508411504661</c:v>
                </c:pt>
                <c:pt idx="65">
                  <c:v>33.4583433396723</c:v>
                </c:pt>
                <c:pt idx="66">
                  <c:v>33.406527820269</c:v>
                </c:pt>
                <c:pt idx="67">
                  <c:v>33.3529258215685</c:v>
                </c:pt>
                <c:pt idx="68">
                  <c:v>33.2974988486585</c:v>
                </c:pt>
                <c:pt idx="69">
                  <c:v>33.2402091475867</c:v>
                </c:pt>
                <c:pt idx="70">
                  <c:v>33.1810198182323</c:v>
                </c:pt>
                <c:pt idx="71">
                  <c:v>33.119894928473</c:v>
                </c:pt>
                <c:pt idx="72">
                  <c:v>33.056799629021</c:v>
                </c:pt>
                <c:pt idx="73">
                  <c:v>32.9917002682598</c:v>
                </c:pt>
                <c:pt idx="74">
                  <c:v>32.9245645063762</c:v>
                </c:pt>
                <c:pt idx="75">
                  <c:v>32.855361428057</c:v>
                </c:pt>
                <c:pt idx="76">
                  <c:v>32.7840616529945</c:v>
                </c:pt>
                <c:pt idx="77">
                  <c:v>32.7106374434312</c:v>
                </c:pt>
                <c:pt idx="78">
                  <c:v>32.6350628079683</c:v>
                </c:pt>
                <c:pt idx="79">
                  <c:v>32.5573136008661</c:v>
                </c:pt>
                <c:pt idx="80">
                  <c:v>32.4773676160728</c:v>
                </c:pt>
                <c:pt idx="81">
                  <c:v>32.3952046752454</c:v>
                </c:pt>
                <c:pt idx="82">
                  <c:v>32.3108067090511</c:v>
                </c:pt>
                <c:pt idx="83">
                  <c:v>32.2241578310831</c:v>
                </c:pt>
                <c:pt idx="84">
                  <c:v>32.135244403772</c:v>
                </c:pt>
                <c:pt idx="85">
                  <c:v>32.0440550957332</c:v>
                </c:pt>
                <c:pt idx="86">
                  <c:v>31.9505809300567</c:v>
                </c:pt>
                <c:pt idx="87">
                  <c:v>31.854815323121</c:v>
                </c:pt>
                <c:pt idx="88">
                  <c:v>31.7567541135909</c:v>
                </c:pt>
                <c:pt idx="89">
                  <c:v>31.6563955813471</c:v>
                </c:pt>
                <c:pt idx="90">
                  <c:v>31.5537404561805</c:v>
                </c:pt>
                <c:pt idx="91">
                  <c:v>31.4487919161812</c:v>
                </c:pt>
                <c:pt idx="92">
                  <c:v>31.3415555758393</c:v>
                </c:pt>
                <c:pt idx="93">
                  <c:v>31.2320394639725</c:v>
                </c:pt>
                <c:pt idx="94">
                  <c:v>31.1202539916818</c:v>
                </c:pt>
                <c:pt idx="95">
                  <c:v>31.0062119106275</c:v>
                </c:pt>
                <c:pt idx="96">
                  <c:v>30.8899282620001</c:v>
                </c:pt>
                <c:pt idx="97">
                  <c:v>30.7714203166369</c:v>
                </c:pt>
                <c:pt idx="98">
                  <c:v>30.6507075068099</c:v>
                </c:pt>
                <c:pt idx="99">
                  <c:v>30.5278113502687</c:v>
                </c:pt>
                <c:pt idx="100">
                  <c:v>30.402755367183</c:v>
                </c:pt>
                <c:pt idx="101">
                  <c:v>30.2755649906699</c:v>
                </c:pt>
                <c:pt idx="102">
                  <c:v>30.1462674716335</c:v>
                </c:pt>
                <c:pt idx="103">
                  <c:v>30.0148917786655</c:v>
                </c:pt>
                <c:pt idx="104">
                  <c:v>29.8814684937783</c:v>
                </c:pt>
                <c:pt idx="105">
                  <c:v>29.7460297047465</c:v>
                </c:pt>
                <c:pt idx="106">
                  <c:v>29.6086088948357</c:v>
                </c:pt>
                <c:pt idx="107">
                  <c:v>29.4692408306826</c:v>
                </c:pt>
                <c:pt idx="108">
                  <c:v>29.3279614490771</c:v>
                </c:pt>
                <c:pt idx="109">
                  <c:v>29.1848077433721</c:v>
                </c:pt>
                <c:pt idx="110">
                  <c:v>29.0398176502102</c:v>
                </c:pt>
                <c:pt idx="111">
                  <c:v>28.8930299372266</c:v>
                </c:pt>
                <c:pt idx="112">
                  <c:v>28.7444840923392</c:v>
                </c:pt>
                <c:pt idx="113">
                  <c:v>28.5942202151926</c:v>
                </c:pt>
                <c:pt idx="114">
                  <c:v>28.4422789112776</c:v>
                </c:pt>
                <c:pt idx="115">
                  <c:v>28.2887011891894</c:v>
                </c:pt>
                <c:pt idx="116">
                  <c:v>28.1335283614415</c:v>
                </c:pt>
                <c:pt idx="117">
                  <c:v>27.9768019491969</c:v>
                </c:pt>
                <c:pt idx="118">
                  <c:v>27.8185635912245</c:v>
                </c:pt>
                <c:pt idx="119">
                  <c:v>27.6588549573391</c:v>
                </c:pt>
                <c:pt idx="120">
                  <c:v>27.4977176665311</c:v>
                </c:pt>
                <c:pt idx="121">
                  <c:v>27.3351932099458</c:v>
                </c:pt>
                <c:pt idx="122">
                  <c:v>27.1713228788236</c:v>
                </c:pt>
                <c:pt idx="123">
                  <c:v>27.0061476974718</c:v>
                </c:pt>
                <c:pt idx="124">
                  <c:v>26.8397083612976</c:v>
                </c:pt>
                <c:pt idx="125">
                  <c:v>26.6720451798951</c:v>
                </c:pt>
                <c:pt idx="126">
                  <c:v>26.5031980251455</c:v>
                </c:pt>
                <c:pt idx="127">
                  <c:v>26.3332062842611</c:v>
                </c:pt>
                <c:pt idx="128">
                  <c:v>26.1621088176742</c:v>
                </c:pt>
                <c:pt idx="129">
                  <c:v>25.9899439216514</c:v>
                </c:pt>
                <c:pt idx="130">
                  <c:v>25.8167492954951</c:v>
                </c:pt>
                <c:pt idx="131">
                  <c:v>25.6425620131712</c:v>
                </c:pt>
                <c:pt idx="132">
                  <c:v>25.4674184991962</c:v>
                </c:pt>
                <c:pt idx="133">
                  <c:v>25.2913545086004</c:v>
                </c:pt>
                <c:pt idx="134">
                  <c:v>25.1144051107782</c:v>
                </c:pt>
                <c:pt idx="135">
                  <c:v>24.9366046770297</c:v>
                </c:pt>
                <c:pt idx="136">
                  <c:v>24.7579868715959</c:v>
                </c:pt>
                <c:pt idx="137">
                  <c:v>24.5785846459857</c:v>
                </c:pt>
                <c:pt idx="138">
                  <c:v>24.3984302363965</c:v>
                </c:pt>
                <c:pt idx="139">
                  <c:v>24.2175551640293</c:v>
                </c:pt>
                <c:pt idx="140">
                  <c:v>24.0359902381038</c:v>
                </c:pt>
                <c:pt idx="141">
                  <c:v>23.8537655613844</c:v>
                </c:pt>
                <c:pt idx="142">
                  <c:v>23.6709105380321</c:v>
                </c:pt>
                <c:pt idx="143">
                  <c:v>23.4874538836042</c:v>
                </c:pt>
                <c:pt idx="144">
                  <c:v>23.3034236370308</c:v>
                </c:pt>
                <c:pt idx="145">
                  <c:v>23.1188471744063</c:v>
                </c:pt>
                <c:pt idx="146">
                  <c:v>22.9337512244392</c:v>
                </c:pt>
                <c:pt idx="147">
                  <c:v>22.7481618854143</c:v>
                </c:pt>
                <c:pt idx="148">
                  <c:v>22.5621046435292</c:v>
                </c:pt>
                <c:pt idx="149">
                  <c:v>22.3756043924756</c:v>
                </c:pt>
                <c:pt idx="150">
                  <c:v>22.1886854541442</c:v>
                </c:pt>
                <c:pt idx="151">
                  <c:v>22.0013716003411</c:v>
                </c:pt>
                <c:pt idx="152">
                  <c:v>21.8136860754122</c:v>
                </c:pt>
                <c:pt idx="153">
                  <c:v>21.6256516196794</c:v>
                </c:pt>
                <c:pt idx="154">
                  <c:v>21.4372904936</c:v>
                </c:pt>
                <c:pt idx="155">
                  <c:v>21.2486245025726</c:v>
                </c:pt>
                <c:pt idx="156">
                  <c:v>21.0596750223122</c:v>
                </c:pt>
                <c:pt idx="157">
                  <c:v>20.8704630247327</c:v>
                </c:pt>
                <c:pt idx="158">
                  <c:v>20.6810091042758</c:v>
                </c:pt>
                <c:pt idx="159">
                  <c:v>20.491333504635</c:v>
                </c:pt>
                <c:pt idx="160">
                  <c:v>20.3014561458265</c:v>
                </c:pt>
                <c:pt idx="161">
                  <c:v>20.1113966515678</c:v>
                </c:pt>
                <c:pt idx="162">
                  <c:v>19.921174376926</c:v>
                </c:pt>
                <c:pt idx="163">
                  <c:v>19.7308084362064</c:v>
                </c:pt>
                <c:pt idx="164">
                  <c:v>19.540317731053</c:v>
                </c:pt>
                <c:pt idx="165">
                  <c:v>19.3497209787393</c:v>
                </c:pt>
                <c:pt idx="166">
                  <c:v>19.1590367406288</c:v>
                </c:pt>
                <c:pt idx="167">
                  <c:v>18.9682834507899</c:v>
                </c:pt>
                <c:pt idx="168">
                  <c:v>18.7774794447521</c:v>
                </c:pt>
                <c:pt idx="169">
                  <c:v>18.5866429883908</c:v>
                </c:pt>
                <c:pt idx="170">
                  <c:v>18.3957923069346</c:v>
                </c:pt>
                <c:pt idx="171">
                  <c:v>18.2049456140842</c:v>
                </c:pt>
                <c:pt idx="172">
                  <c:v>18.0141211412409</c:v>
                </c:pt>
                <c:pt idx="173">
                  <c:v>17.8233371668366</c:v>
                </c:pt>
                <c:pt idx="174">
                  <c:v>17.6326120457613</c:v>
                </c:pt>
                <c:pt idx="175">
                  <c:v>17.441964238886</c:v>
                </c:pt>
                <c:pt idx="176">
                  <c:v>17.2514123426725</c:v>
                </c:pt>
                <c:pt idx="177">
                  <c:v>17.0609751188695</c:v>
                </c:pt>
                <c:pt idx="178">
                  <c:v>16.8706715242844</c:v>
                </c:pt>
                <c:pt idx="179">
                  <c:v>16.680520740628</c:v>
                </c:pt>
                <c:pt idx="180">
                  <c:v>16.490542204419</c:v>
                </c:pt>
                <c:pt idx="181">
                  <c:v>16.3007556369405</c:v>
                </c:pt>
                <c:pt idx="182">
                  <c:v>16.1111810742326</c:v>
                </c:pt>
                <c:pt idx="183">
                  <c:v>15.9218388971064</c:v>
                </c:pt>
                <c:pt idx="184">
                  <c:v>15.7327498611588</c:v>
                </c:pt>
                <c:pt idx="185">
                  <c:v>15.5439351267657</c:v>
                </c:pt>
                <c:pt idx="186">
                  <c:v>15.3554162890258</c:v>
                </c:pt>
                <c:pt idx="187">
                  <c:v>15.1672154076239</c:v>
                </c:pt>
                <c:pt idx="188">
                  <c:v>14.9793550365765</c:v>
                </c:pt>
                <c:pt idx="189">
                  <c:v>14.7918582538198</c:v>
                </c:pt>
                <c:pt idx="190">
                  <c:v>14.6047486905899</c:v>
                </c:pt>
                <c:pt idx="191">
                  <c:v>14.4180505605461</c:v>
                </c:pt>
                <c:pt idx="192">
                  <c:v>14.2317886885721</c:v>
                </c:pt>
                <c:pt idx="193">
                  <c:v>14.0459885391955</c:v>
                </c:pt>
                <c:pt idx="194">
                  <c:v>13.8606762445452</c:v>
                </c:pt>
                <c:pt idx="195">
                  <c:v>13.6758786317712</c:v>
                </c:pt>
                <c:pt idx="196">
                  <c:v>13.4916232498342</c:v>
                </c:pt>
                <c:pt idx="197">
                  <c:v>13.307938395571</c:v>
                </c:pt>
                <c:pt idx="198">
                  <c:v>13.1248531389291</c:v>
                </c:pt>
                <c:pt idx="199">
                  <c:v>12.9423973472572</c:v>
                </c:pt>
                <c:pt idx="200">
                  <c:v>12.7606017085306</c:v>
                </c:pt>
                <c:pt idx="201">
                  <c:v>12.5794977533789</c:v>
                </c:pt>
                <c:pt idx="202">
                  <c:v>12.3991178757808</c:v>
                </c:pt>
                <c:pt idx="203">
                  <c:v>12.2194953522732</c:v>
                </c:pt>
                <c:pt idx="204">
                  <c:v>12.0406643595231</c:v>
                </c:pt>
                <c:pt idx="205">
                  <c:v>11.8626599900966</c:v>
                </c:pt>
                <c:pt idx="206">
                  <c:v>11.6855182662556</c:v>
                </c:pt>
                <c:pt idx="207">
                  <c:v>11.509276151602</c:v>
                </c:pt>
                <c:pt idx="208">
                  <c:v>11.3339715603884</c:v>
                </c:pt>
                <c:pt idx="209">
                  <c:v>11.1596433643042</c:v>
                </c:pt>
                <c:pt idx="210">
                  <c:v>10.986331396546</c:v>
                </c:pt>
                <c:pt idx="211">
                  <c:v>10.8140764529747</c:v>
                </c:pt>
                <c:pt idx="212">
                  <c:v>10.6429202901658</c:v>
                </c:pt>
                <c:pt idx="213">
                  <c:v>10.472905620152</c:v>
                </c:pt>
                <c:pt idx="214">
                  <c:v>10.304076101669</c:v>
                </c:pt>
                <c:pt idx="215">
                  <c:v>10.1364763277107</c:v>
                </c:pt>
                <c:pt idx="216">
                  <c:v>9.97015180921443</c:v>
                </c:pt>
                <c:pt idx="217">
                  <c:v>9.80514895469997</c:v>
                </c:pt>
                <c:pt idx="218">
                  <c:v>9.64151504570218</c:v>
                </c:pt>
                <c:pt idx="219">
                  <c:v>9.47929820785006</c:v>
                </c:pt>
                <c:pt idx="220">
                  <c:v>9.3185473774622</c:v>
                </c:pt>
                <c:pt idx="221">
                  <c:v>9.15931226355046</c:v>
                </c:pt>
                <c:pt idx="222">
                  <c:v>9.00164330514861</c:v>
                </c:pt>
                <c:pt idx="223">
                  <c:v>8.84559162390616</c:v>
                </c:pt>
                <c:pt idx="224">
                  <c:v>8.69120897192287</c:v>
                </c:pt>
                <c:pt idx="225">
                  <c:v>8.53854767482912</c:v>
                </c:pt>
                <c:pt idx="226">
                  <c:v>8.38766057015602</c:v>
                </c:pt>
                <c:pt idx="227">
                  <c:v>8.2386009410779</c:v>
                </c:pt>
                <c:pt idx="228">
                  <c:v>8.09142244565102</c:v>
                </c:pt>
                <c:pt idx="229">
                  <c:v>7.94617904171777</c:v>
                </c:pt>
                <c:pt idx="230">
                  <c:v>7.80292490769101</c:v>
                </c:pt>
                <c:pt idx="231">
                  <c:v>7.66171435947921</c:v>
                </c:pt>
                <c:pt idx="232">
                  <c:v>7.52260176386337</c:v>
                </c:pt>
                <c:pt idx="233">
                  <c:v>7.38564144868159</c:v>
                </c:pt>
                <c:pt idx="234">
                  <c:v>7.25088761022676</c:v>
                </c:pt>
                <c:pt idx="235">
                  <c:v>7.11839421830707</c:v>
                </c:pt>
                <c:pt idx="236">
                  <c:v>6.98821491946299</c:v>
                </c:pt>
                <c:pt idx="237">
                  <c:v>6.86040293887425</c:v>
                </c:pt>
                <c:pt idx="238">
                  <c:v>6.735010981526</c:v>
                </c:pt>
                <c:pt idx="239">
                  <c:v>6.6120911332347</c:v>
                </c:pt>
                <c:pt idx="240">
                  <c:v>6.49169476216012</c:v>
                </c:pt>
                <c:pt idx="241">
                  <c:v>6.37387242144584</c:v>
                </c:pt>
                <c:pt idx="242">
                  <c:v>6.25867375364427</c:v>
                </c:pt>
                <c:pt idx="243">
                  <c:v>6.14614739758342</c:v>
                </c:pt>
                <c:pt idx="244">
                  <c:v>6.0363408983262</c:v>
                </c:pt>
                <c:pt idx="245">
                  <c:v>5.92930062085926</c:v>
                </c:pt>
                <c:pt idx="246">
                  <c:v>5.82507166812228</c:v>
                </c:pt>
                <c:pt idx="247">
                  <c:v>5.72369780395543</c:v>
                </c:pt>
                <c:pt idx="248">
                  <c:v>5.62522138149822</c:v>
                </c:pt>
                <c:pt idx="249">
                  <c:v>5.52968327752035</c:v>
                </c:pt>
                <c:pt idx="250">
                  <c:v>5.43712283310376</c:v>
                </c:pt>
                <c:pt idx="251">
                  <c:v>5.34757780102427</c:v>
                </c:pt>
                <c:pt idx="252">
                  <c:v>5.2610843001059</c:v>
                </c:pt>
                <c:pt idx="253">
                  <c:v>5.17767677673636</c:v>
                </c:pt>
                <c:pt idx="254">
                  <c:v>5.09738797364493</c:v>
                </c:pt>
                <c:pt idx="255">
                  <c:v>5.02024890595152</c:v>
                </c:pt>
                <c:pt idx="256">
                  <c:v>4.94628884440465</c:v>
                </c:pt>
                <c:pt idx="257">
                  <c:v>4.87553530562648</c:v>
                </c:pt>
                <c:pt idx="258">
                  <c:v>4.80801404909716</c:v>
                </c:pt>
                <c:pt idx="259">
                  <c:v>4.74374908051346</c:v>
                </c:pt>
                <c:pt idx="260">
                  <c:v>4.68276266107529</c:v>
                </c:pt>
                <c:pt idx="261">
                  <c:v>4.62507532217182</c:v>
                </c:pt>
                <c:pt idx="262">
                  <c:v>4.57070588486605</c:v>
                </c:pt>
                <c:pt idx="263">
                  <c:v>4.51967148351361</c:v>
                </c:pt>
                <c:pt idx="264">
                  <c:v>4.47198759279681</c:v>
                </c:pt>
                <c:pt idx="265">
                  <c:v>4.42766805741318</c:v>
                </c:pt>
                <c:pt idx="266">
                  <c:v>4.38672512362497</c:v>
                </c:pt>
                <c:pt idx="267">
                  <c:v>4.34916947185914</c:v>
                </c:pt>
                <c:pt idx="268">
                  <c:v>4.31501024954088</c:v>
                </c:pt>
                <c:pt idx="269">
                  <c:v>4.28425510335123</c:v>
                </c:pt>
                <c:pt idx="270">
                  <c:v>4.25691021011889</c:v>
                </c:pt>
                <c:pt idx="271">
                  <c:v>4.23298030559135</c:v>
                </c:pt>
                <c:pt idx="272">
                  <c:v>4.21246871037313</c:v>
                </c:pt>
                <c:pt idx="273">
                  <c:v>4.19537735237712</c:v>
                </c:pt>
                <c:pt idx="274">
                  <c:v>4.18170678520273</c:v>
                </c:pt>
                <c:pt idx="275">
                  <c:v>4.17145620192858</c:v>
                </c:pt>
                <c:pt idx="276">
                  <c:v>4.16462344389577</c:v>
                </c:pt>
                <c:pt idx="277">
                  <c:v>4.16120500414752</c:v>
                </c:pt>
                <c:pt idx="278">
                  <c:v>4.16119602528741</c:v>
                </c:pt>
                <c:pt idx="279">
                  <c:v>4.16459029162114</c:v>
                </c:pt>
                <c:pt idx="280">
                  <c:v>4.17138021554877</c:v>
                </c:pt>
                <c:pt idx="281">
                  <c:v>4.18155681827806</c:v>
                </c:pt>
                <c:pt idx="282">
                  <c:v>4.19510970503105</c:v>
                </c:pt>
                <c:pt idx="283">
                  <c:v>4.21202703501757</c:v>
                </c:pt>
                <c:pt idx="284">
                  <c:v>4.23229548654225</c:v>
                </c:pt>
                <c:pt idx="285">
                  <c:v>4.25590021770203</c:v>
                </c:pt>
                <c:pt idx="286">
                  <c:v>4.28282482321289</c:v>
                </c:pt>
                <c:pt idx="287">
                  <c:v>4.31305128797751</c:v>
                </c:pt>
                <c:pt idx="288">
                  <c:v>4.34655993806779</c:v>
                </c:pt>
                <c:pt idx="289">
                  <c:v>4.38332938985083</c:v>
                </c:pt>
                <c:pt idx="290">
                  <c:v>4.42333649802551</c:v>
                </c:pt>
                <c:pt idx="291">
                  <c:v>4.46655630336644</c:v>
                </c:pt>
                <c:pt idx="292">
                  <c:v>4.51296198098772</c:v>
                </c:pt>
                <c:pt idx="293">
                  <c:v>4.56252478994178</c:v>
                </c:pt>
                <c:pt idx="294">
                  <c:v>4.61521402495865</c:v>
                </c:pt>
                <c:pt idx="295">
                  <c:v>4.67099697110906</c:v>
                </c:pt>
                <c:pt idx="296">
                  <c:v>4.72983886214087</c:v>
                </c:pt>
                <c:pt idx="297">
                  <c:v>4.79170284319195</c:v>
                </c:pt>
                <c:pt idx="298">
                  <c:v>4.85654993852758</c:v>
                </c:pt>
                <c:pt idx="299">
                  <c:v>4.9243390248857</c:v>
                </c:pt>
                <c:pt idx="300">
                  <c:v>4.99502681094102</c:v>
                </c:pt>
                <c:pt idx="301">
                  <c:v>5.06856782331817</c:v>
                </c:pt>
                <c:pt idx="302">
                  <c:v>5.14491439950356</c:v>
                </c:pt>
                <c:pt idx="303">
                  <c:v>5.22401668791393</c:v>
                </c:pt>
                <c:pt idx="304">
                  <c:v>5.30582265529667</c:v>
                </c:pt>
                <c:pt idx="305">
                  <c:v>5.39027810154126</c:v>
                </c:pt>
                <c:pt idx="306">
                  <c:v>5.47732668190183</c:v>
                </c:pt>
                <c:pt idx="307">
                  <c:v>5.56690993653954</c:v>
                </c:pt>
                <c:pt idx="308">
                  <c:v>5.65896732722002</c:v>
                </c:pt>
                <c:pt idx="309">
                  <c:v>5.75343628092517</c:v>
                </c:pt>
                <c:pt idx="310">
                  <c:v>5.85025224007101</c:v>
                </c:pt>
                <c:pt idx="311">
                  <c:v>5.94934871896822</c:v>
                </c:pt>
                <c:pt idx="312">
                  <c:v>6.05065736610906</c:v>
                </c:pt>
                <c:pt idx="313">
                  <c:v>6.15410803182609</c:v>
                </c:pt>
                <c:pt idx="314">
                  <c:v>6.2596288408361</c:v>
                </c:pt>
                <c:pt idx="315">
                  <c:v>6.36714626916092</c:v>
                </c:pt>
                <c:pt idx="316">
                  <c:v>6.47658522490915</c:v>
                </c:pt>
                <c:pt idx="317">
                  <c:v>6.58786913239405</c:v>
                </c:pt>
                <c:pt idx="318">
                  <c:v>6.70092001907696</c:v>
                </c:pt>
                <c:pt idx="319">
                  <c:v>6.81565860483646</c:v>
                </c:pt>
                <c:pt idx="320">
                  <c:v>6.93200439308777</c:v>
                </c:pt>
                <c:pt idx="321">
                  <c:v>7.04987576330667</c:v>
                </c:pt>
                <c:pt idx="322">
                  <c:v>7.16919006454979</c:v>
                </c:pt>
                <c:pt idx="323">
                  <c:v>7.2898637095998</c:v>
                </c:pt>
                <c:pt idx="324">
                  <c:v>7.41181226941437</c:v>
                </c:pt>
                <c:pt idx="325">
                  <c:v>7.53495056759907</c:v>
                </c:pt>
                <c:pt idx="326">
                  <c:v>7.65919277467953</c:v>
                </c:pt>
                <c:pt idx="327">
                  <c:v>7.78445250199381</c:v>
                </c:pt>
                <c:pt idx="328">
                  <c:v>7.91064289507891</c:v>
                </c:pt>
                <c:pt idx="329">
                  <c:v>8.03767672647153</c:v>
                </c:pt>
                <c:pt idx="330">
                  <c:v>8.16546648789104</c:v>
                </c:pt>
                <c:pt idx="331">
                  <c:v>8.29392448181704</c:v>
                </c:pt>
                <c:pt idx="332">
                  <c:v>8.42296291250998</c:v>
                </c:pt>
                <c:pt idx="333">
                  <c:v>8.55249397656492</c:v>
                </c:pt>
                <c:pt idx="334">
                  <c:v>8.68242995311163</c:v>
                </c:pt>
                <c:pt idx="335">
                  <c:v>8.81268329380572</c:v>
                </c:pt>
                <c:pt idx="336">
                  <c:v>8.94316671276997</c:v>
                </c:pt>
                <c:pt idx="337">
                  <c:v>9.07379327666066</c:v>
                </c:pt>
                <c:pt idx="338">
                  <c:v>9.20447649503803</c:v>
                </c:pt>
                <c:pt idx="339">
                  <c:v>9.33513041122174</c:v>
                </c:pt>
                <c:pt idx="340">
                  <c:v>9.46566969380303</c:v>
                </c:pt>
                <c:pt idx="341">
                  <c:v>9.59600972897445</c:v>
                </c:pt>
                <c:pt idx="342">
                  <c:v>9.72606671381626</c:v>
                </c:pt>
                <c:pt idx="343">
                  <c:v>9.85575775065268</c:v>
                </c:pt>
                <c:pt idx="344">
                  <c:v>9.98500094256068</c:v>
                </c:pt>
                <c:pt idx="345">
                  <c:v>10.113715490076</c:v>
                </c:pt>
                <c:pt idx="346">
                  <c:v>10.2418217890972</c:v>
                </c:pt>
                <c:pt idx="347">
                  <c:v>10.3692415299456</c:v>
                </c:pt>
                <c:pt idx="348">
                  <c:v>10.4958977974855</c:v>
                </c:pt>
                <c:pt idx="349">
                  <c:v>10.6217151721589</c:v>
                </c:pt>
                <c:pt idx="350">
                  <c:v>10.7466198317311</c:v>
                </c:pt>
                <c:pt idx="351">
                  <c:v>10.870539653492</c:v>
                </c:pt>
                <c:pt idx="352">
                  <c:v>10.9934043165967</c:v>
                </c:pt>
                <c:pt idx="353">
                  <c:v>11.1151454041782</c:v>
                </c:pt>
                <c:pt idx="354">
                  <c:v>11.2356965048117</c:v>
                </c:pt>
                <c:pt idx="355">
                  <c:v>11.3549933128547</c:v>
                </c:pt>
                <c:pt idx="356">
                  <c:v>11.472973727151</c:v>
                </c:pt>
                <c:pt idx="357">
                  <c:v>11.5895779475345</c:v>
                </c:pt>
                <c:pt idx="358">
                  <c:v>11.7047485685455</c:v>
                </c:pt>
                <c:pt idx="359">
                  <c:v>11.8184306697329</c:v>
                </c:pt>
                <c:pt idx="360">
                  <c:v>11.9305719019076</c:v>
                </c:pt>
                <c:pt idx="361">
                  <c:v>12.0411225686912</c:v>
                </c:pt>
                <c:pt idx="362">
                  <c:v>12.150035702709</c:v>
                </c:pt>
                <c:pt idx="363">
                  <c:v>12.2572671357777</c:v>
                </c:pt>
                <c:pt idx="364">
                  <c:v>12.3627755624617</c:v>
                </c:pt>
                <c:pt idx="365">
                  <c:v>12.4665225963938</c:v>
                </c:pt>
                <c:pt idx="366">
                  <c:v>12.5684728187929</c:v>
                </c:pt>
                <c:pt idx="367">
                  <c:v>12.668593818662</c:v>
                </c:pt>
                <c:pt idx="368">
                  <c:v>12.7668562241976</c:v>
                </c:pt>
                <c:pt idx="369">
                  <c:v>12.8632337250107</c:v>
                </c:pt>
                <c:pt idx="370">
                  <c:v>12.9577030848257</c:v>
                </c:pt>
                <c:pt idx="371">
                  <c:v>13.0502441444009</c:v>
                </c:pt>
                <c:pt idx="372">
                  <c:v>13.1408398144967</c:v>
                </c:pt>
                <c:pt idx="373">
                  <c:v>13.229476058801</c:v>
                </c:pt>
                <c:pt idx="374">
                  <c:v>13.3161418668089</c:v>
                </c:pt>
                <c:pt idx="375">
                  <c:v>13.400829216743</c:v>
                </c:pt>
                <c:pt idx="376">
                  <c:v>13.4835330286877</c:v>
                </c:pt>
                <c:pt idx="377">
                  <c:v>13.5642511081964</c:v>
                </c:pt>
                <c:pt idx="378">
                  <c:v>13.6429840807117</c:v>
                </c:pt>
                <c:pt idx="379">
                  <c:v>13.7197353172217</c:v>
                </c:pt>
                <c:pt idx="380">
                  <c:v>13.7945108516402</c:v>
                </c:pt>
                <c:pt idx="381">
                  <c:v>13.8673192904686</c:v>
                </c:pt>
                <c:pt idx="382">
                  <c:v>13.9381717153555</c:v>
                </c:pt>
                <c:pt idx="383">
                  <c:v>14.0070815792152</c:v>
                </c:pt>
                <c:pt idx="384">
                  <c:v>14.0740645966102</c:v>
                </c:pt>
                <c:pt idx="385">
                  <c:v>14.1391386291319</c:v>
                </c:pt>
                <c:pt idx="386">
                  <c:v>14.2023235665359</c:v>
                </c:pt>
                <c:pt idx="387">
                  <c:v>14.2636412044008</c:v>
                </c:pt>
                <c:pt idx="388">
                  <c:v>14.3231151190822</c:v>
                </c:pt>
                <c:pt idx="389">
                  <c:v>14.3807705407262</c:v>
                </c:pt>
                <c:pt idx="390">
                  <c:v>14.4366342250965</c:v>
                </c:pt>
                <c:pt idx="391">
                  <c:v>14.4907343249446</c:v>
                </c:pt>
                <c:pt idx="392">
                  <c:v>14.543100261622</c:v>
                </c:pt>
                <c:pt idx="393">
                  <c:v>14.5937625976063</c:v>
                </c:pt>
                <c:pt idx="394">
                  <c:v>14.6427529105621</c:v>
                </c:pt>
                <c:pt idx="395">
                  <c:v>14.690103669524</c:v>
                </c:pt>
                <c:pt idx="396">
                  <c:v>14.7358481137317</c:v>
                </c:pt>
                <c:pt idx="397">
                  <c:v>14.7800201346055</c:v>
                </c:pt>
                <c:pt idx="398">
                  <c:v>14.8226541612888</c:v>
                </c:pt>
                <c:pt idx="399">
                  <c:v>14.8637850501408</c:v>
                </c:pt>
                <c:pt idx="400">
                  <c:v>14.9034479785009</c:v>
                </c:pt>
                <c:pt idx="401">
                  <c:v>14.9416783429997</c:v>
                </c:pt>
                <c:pt idx="402">
                  <c:v>14.9785116626353</c:v>
                </c:pt>
                <c:pt idx="403">
                  <c:v>15.0139834867879</c:v>
                </c:pt>
                <c:pt idx="404">
                  <c:v>15.0481293082943</c:v>
                </c:pt>
                <c:pt idx="405">
                  <c:v>15.0809844816619</c:v>
                </c:pt>
                <c:pt idx="406">
                  <c:v>15.1125841464574</c:v>
                </c:pt>
                <c:pt idx="407">
                  <c:v>15.1429631558684</c:v>
                </c:pt>
                <c:pt idx="408">
                  <c:v>15.172156010399</c:v>
                </c:pt>
                <c:pt idx="409">
                  <c:v>15.2001967966278</c:v>
                </c:pt>
                <c:pt idx="410">
                  <c:v>15.2271191309309</c:v>
                </c:pt>
                <c:pt idx="411">
                  <c:v>15.2529561080426</c:v>
                </c:pt>
                <c:pt idx="412">
                  <c:v>15.2777402543086</c:v>
                </c:pt>
                <c:pt idx="413">
                  <c:v>15.3015034854651</c:v>
                </c:pt>
                <c:pt idx="414">
                  <c:v>15.324277068762</c:v>
                </c:pt>
                <c:pt idx="415">
                  <c:v>15.346091589238</c:v>
                </c:pt>
                <c:pt idx="416">
                  <c:v>15.3669769199404</c:v>
                </c:pt>
                <c:pt idx="417">
                  <c:v>15.3869621958817</c:v>
                </c:pt>
                <c:pt idx="418">
                  <c:v>15.4060757915137</c:v>
                </c:pt>
                <c:pt idx="419">
                  <c:v>15.4243453015022</c:v>
                </c:pt>
                <c:pt idx="420">
                  <c:v>15.4417975245796</c:v>
                </c:pt>
                <c:pt idx="421">
                  <c:v>15.4584584502594</c:v>
                </c:pt>
                <c:pt idx="422">
                  <c:v>15.4743532481926</c:v>
                </c:pt>
                <c:pt idx="423">
                  <c:v>15.4895062599541</c:v>
                </c:pt>
                <c:pt idx="424">
                  <c:v>15.5039409930511</c:v>
                </c:pt>
                <c:pt idx="425">
                  <c:v>15.5176801169501</c:v>
                </c:pt>
                <c:pt idx="426">
                  <c:v>15.5307454609253</c:v>
                </c:pt>
                <c:pt idx="427">
                  <c:v>15.5431580135425</c:v>
                </c:pt>
                <c:pt idx="428">
                  <c:v>15.5549379235931</c:v>
                </c:pt>
                <c:pt idx="429">
                  <c:v>15.5661045023086</c:v>
                </c:pt>
                <c:pt idx="430">
                  <c:v>15.5766762266872</c:v>
                </c:pt>
                <c:pt idx="431">
                  <c:v>15.5866707437803</c:v>
                </c:pt>
                <c:pt idx="432">
                  <c:v>15.5961048757844</c:v>
                </c:pt>
                <c:pt idx="433">
                  <c:v>15.6049946258066</c:v>
                </c:pt>
                <c:pt idx="434">
                  <c:v>15.6133551841652</c:v>
                </c:pt>
                <c:pt idx="435">
                  <c:v>15.6212009351079</c:v>
                </c:pt>
                <c:pt idx="436">
                  <c:v>15.62854546383</c:v>
                </c:pt>
                <c:pt idx="437">
                  <c:v>15.6354015636856</c:v>
                </c:pt>
                <c:pt idx="438">
                  <c:v>15.6417812434952</c:v>
                </c:pt>
                <c:pt idx="439">
                  <c:v>15.6476957348539</c:v>
                </c:pt>
                <c:pt idx="440">
                  <c:v>15.6531554993588</c:v>
                </c:pt>
                <c:pt idx="441">
                  <c:v>15.6581702356753</c:v>
                </c:pt>
                <c:pt idx="442">
                  <c:v>15.6627488863725</c:v>
                </c:pt>
                <c:pt idx="443">
                  <c:v>15.6668996444608</c:v>
                </c:pt>
                <c:pt idx="444">
                  <c:v>15.6706299595731</c:v>
                </c:pt>
                <c:pt idx="445">
                  <c:v>15.6739465437371</c:v>
                </c:pt>
                <c:pt idx="446">
                  <c:v>15.6768553766874</c:v>
                </c:pt>
                <c:pt idx="447">
                  <c:v>15.6793617106772</c:v>
                </c:pt>
                <c:pt idx="448">
                  <c:v>15.6814700747491</c:v>
                </c:pt>
                <c:pt idx="449">
                  <c:v>15.6831842784333</c:v>
                </c:pt>
                <c:pt idx="450">
                  <c:v>15.6845074148418</c:v>
                </c:pt>
                <c:pt idx="451">
                  <c:v>15.6854418631357</c:v>
                </c:pt>
                <c:pt idx="452">
                  <c:v>15.6859892903438</c:v>
                </c:pt>
                <c:pt idx="453">
                  <c:v>15.6861506525162</c:v>
                </c:pt>
                <c:pt idx="454">
                  <c:v>15.6859261952</c:v>
                </c:pt>
                <c:pt idx="455">
                  <c:v>15.6853154532278</c:v>
                </c:pt>
                <c:pt idx="456">
                  <c:v>15.6843172498155</c:v>
                </c:pt>
                <c:pt idx="457">
                  <c:v>15.6829296949653</c:v>
                </c:pt>
                <c:pt idx="458">
                  <c:v>15.681150183179</c:v>
                </c:pt>
                <c:pt idx="459">
                  <c:v>15.6789753904857</c:v>
                </c:pt>
                <c:pt idx="460">
                  <c:v>15.6764012707957</c:v>
                </c:pt>
                <c:pt idx="461">
                  <c:v>15.6734230515937</c:v>
                </c:pt>
                <c:pt idx="462">
                  <c:v>15.670035228988</c:v>
                </c:pt>
                <c:pt idx="463">
                  <c:v>15.6662315621407</c:v>
                </c:pt>
                <c:pt idx="464">
                  <c:v>15.6620050671025</c:v>
                </c:pt>
                <c:pt idx="465">
                  <c:v>15.6573480100854</c:v>
                </c:pt>
                <c:pt idx="466">
                  <c:v>15.6522519002063</c:v>
                </c:pt>
                <c:pt idx="467">
                  <c:v>15.6467074817438</c:v>
                </c:pt>
                <c:pt idx="468">
                  <c:v>15.6407047259537</c:v>
                </c:pt>
                <c:pt idx="469">
                  <c:v>15.6342328224926</c:v>
                </c:pt>
                <c:pt idx="470">
                  <c:v>15.6272801705073</c:v>
                </c:pt>
                <c:pt idx="471">
                  <c:v>15.6198343694524</c:v>
                </c:pt>
                <c:pt idx="472">
                  <c:v>15.6118822097043</c:v>
                </c:pt>
                <c:pt idx="473">
                  <c:v>15.6034096630462</c:v>
                </c:pt>
                <c:pt idx="474">
                  <c:v>15.5944018731072</c:v>
                </c:pt>
                <c:pt idx="475">
                  <c:v>15.5848431458422</c:v>
                </c:pt>
                <c:pt idx="476">
                  <c:v>15.5747169401516</c:v>
                </c:pt>
                <c:pt idx="477">
                  <c:v>15.5640058587416</c:v>
                </c:pt>
                <c:pt idx="478">
                  <c:v>15.552691639338</c:v>
                </c:pt>
                <c:pt idx="479">
                  <c:v>15.5407551463736</c:v>
                </c:pt>
                <c:pt idx="480">
                  <c:v>15.5281763632746</c:v>
                </c:pt>
                <c:pt idx="481">
                  <c:v>15.5149343854846</c:v>
                </c:pt>
                <c:pt idx="482">
                  <c:v>15.5010074143685</c:v>
                </c:pt>
                <c:pt idx="483">
                  <c:v>15.4863727521497</c:v>
                </c:pt>
                <c:pt idx="484">
                  <c:v>15.4710067980413</c:v>
                </c:pt>
                <c:pt idx="485">
                  <c:v>15.4548850457398</c:v>
                </c:pt>
                <c:pt idx="486">
                  <c:v>15.4379820824592</c:v>
                </c:pt>
                <c:pt idx="487">
                  <c:v>15.4202715896877</c:v>
                </c:pt>
                <c:pt idx="488">
                  <c:v>15.4017263458605</c:v>
                </c:pt>
                <c:pt idx="489">
                  <c:v>15.3823182311424</c:v>
                </c:pt>
                <c:pt idx="490">
                  <c:v>15.3620182345269</c:v>
                </c:pt>
                <c:pt idx="491">
                  <c:v>15.3407964634555</c:v>
                </c:pt>
                <c:pt idx="492">
                  <c:v>15.3186221561683</c:v>
                </c:pt>
                <c:pt idx="493">
                  <c:v>15.2954636969997</c:v>
                </c:pt>
                <c:pt idx="494">
                  <c:v>15.2712886348279</c:v>
                </c:pt>
                <c:pt idx="495">
                  <c:v>15.2460637048932</c:v>
                </c:pt>
                <c:pt idx="496">
                  <c:v>15.2197548541895</c:v>
                </c:pt>
                <c:pt idx="497">
                  <c:v>15.1923272706331</c:v>
                </c:pt>
                <c:pt idx="498">
                  <c:v>15.1637454162001</c:v>
                </c:pt>
                <c:pt idx="499">
                  <c:v>15.1339730642178</c:v>
                </c:pt>
                <c:pt idx="500">
                  <c:v>15.1029733409795</c:v>
                </c:pt>
                <c:pt idx="501">
                  <c:v>15.070708771834</c:v>
                </c:pt>
                <c:pt idx="502">
                  <c:v>15.0371413318867</c:v>
                </c:pt>
                <c:pt idx="503">
                  <c:v>15.0022325014199</c:v>
                </c:pt>
                <c:pt idx="504">
                  <c:v>14.96594332612</c:v>
                </c:pt>
                <c:pt idx="505">
                  <c:v>14.9282344821633</c:v>
                </c:pt>
                <c:pt idx="506">
                  <c:v>14.8890663461867</c:v>
                </c:pt>
                <c:pt idx="507">
                  <c:v>14.8483990701236</c:v>
                </c:pt>
                <c:pt idx="508">
                  <c:v>14.8061926608561</c:v>
                </c:pt>
                <c:pt idx="509">
                  <c:v>14.7624070645825</c:v>
                </c:pt>
                <c:pt idx="510">
                  <c:v>14.7170022557597</c:v>
                </c:pt>
                <c:pt idx="511">
                  <c:v>14.6699383304305</c:v>
                </c:pt>
                <c:pt idx="512">
                  <c:v>14.6211756036919</c:v>
                </c:pt>
                <c:pt idx="513">
                  <c:v>14.5706747110165</c:v>
                </c:pt>
                <c:pt idx="514">
                  <c:v>14.5183967130769</c:v>
                </c:pt>
                <c:pt idx="515">
                  <c:v>14.4643032036792</c:v>
                </c:pt>
                <c:pt idx="516">
                  <c:v>14.4083564203495</c:v>
                </c:pt>
                <c:pt idx="517">
                  <c:v>14.3505193570747</c:v>
                </c:pt>
                <c:pt idx="518">
                  <c:v>14.2907558786424</c:v>
                </c:pt>
                <c:pt idx="519">
                  <c:v>14.2290308359806</c:v>
                </c:pt>
                <c:pt idx="520">
                  <c:v>14.1653101818546</c:v>
                </c:pt>
                <c:pt idx="521">
                  <c:v>14.0995610862399</c:v>
                </c:pt>
                <c:pt idx="522">
                  <c:v>14.0317520506567</c:v>
                </c:pt>
                <c:pt idx="523">
                  <c:v>13.9618530207241</c:v>
                </c:pt>
                <c:pt idx="524">
                  <c:v>13.8898354961759</c:v>
                </c:pt>
                <c:pt idx="525">
                  <c:v>13.8156726375644</c:v>
                </c:pt>
                <c:pt idx="526">
                  <c:v>13.739339368878</c:v>
                </c:pt>
                <c:pt idx="527">
                  <c:v>13.6608124753046</c:v>
                </c:pt>
                <c:pt idx="528">
                  <c:v>13.5800706953885</c:v>
                </c:pt>
                <c:pt idx="529">
                  <c:v>13.4970948068501</c:v>
                </c:pt>
                <c:pt idx="530">
                  <c:v>13.4118677053799</c:v>
                </c:pt>
                <c:pt idx="531">
                  <c:v>13.3243744757526</c:v>
                </c:pt>
                <c:pt idx="532">
                  <c:v>13.2346024546695</c:v>
                </c:pt>
                <c:pt idx="533">
                  <c:v>13.142541284793</c:v>
                </c:pt>
                <c:pt idx="534">
                  <c:v>13.0481829595086</c:v>
                </c:pt>
                <c:pt idx="535">
                  <c:v>12.9515218580266</c:v>
                </c:pt>
                <c:pt idx="536">
                  <c:v>12.8525547705169</c:v>
                </c:pt>
                <c:pt idx="537">
                  <c:v>12.7512809130577</c:v>
                </c:pt>
                <c:pt idx="538">
                  <c:v>12.6477019322696</c:v>
                </c:pt>
                <c:pt idx="539">
                  <c:v>12.5418218995968</c:v>
                </c:pt>
                <c:pt idx="540">
                  <c:v>12.433647295293</c:v>
                </c:pt>
                <c:pt idx="541">
                  <c:v>12.3231869822597</c:v>
                </c:pt>
              </c:numCache>
            </c:numRef>
          </c:yVal>
          <c:smooth val="1"/>
        </c:ser>
        <c:dLbls>
          <c:showLegendKey val="0"/>
          <c:showVal val="0"/>
          <c:showCatName val="0"/>
          <c:showSerName val="0"/>
          <c:showPercent val="0"/>
          <c:showBubbleSize val="0"/>
        </c:dLbls>
        <c:axId val="178188288"/>
        <c:axId val="178190208"/>
      </c:scatterChart>
      <c:scatterChart>
        <c:scatterStyle val="smooth"/>
        <c:varyColors val="0"/>
        <c:ser>
          <c:idx val="1"/>
          <c:order val="1"/>
          <c:tx>
            <c:strRef>
              <c:f>"Phase (deg)"</c:f>
              <c:strCache>
                <c:ptCount val="1"/>
                <c:pt idx="0">
                  <c:v>Phase (deg)</c:v>
                </c:pt>
              </c:strCache>
            </c:strRef>
          </c:tx>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Loop_Modeling!$AE$19:$AE$560</c:f>
              <c:numCache>
                <c:formatCode>General</c:formatCode>
                <c:ptCount val="542"/>
                <c:pt idx="0">
                  <c:v>-7.57869449244173</c:v>
                </c:pt>
                <c:pt idx="1">
                  <c:v>-7.75320042581139</c:v>
                </c:pt>
                <c:pt idx="2">
                  <c:v>-7.93162844669335</c:v>
                </c:pt>
                <c:pt idx="3">
                  <c:v>-8.11405996195723</c:v>
                </c:pt>
                <c:pt idx="4">
                  <c:v>-8.30057759330317</c:v>
                </c:pt>
                <c:pt idx="5">
                  <c:v>-8.49126516039606</c:v>
                </c:pt>
                <c:pt idx="6">
                  <c:v>-8.68620766078921</c:v>
                </c:pt>
                <c:pt idx="7">
                  <c:v>-8.88549124641194</c:v>
                </c:pt>
                <c:pt idx="8">
                  <c:v>-9.08920319637891</c:v>
                </c:pt>
                <c:pt idx="9">
                  <c:v>-9.29743188586895</c:v>
                </c:pt>
                <c:pt idx="10">
                  <c:v>-9.51026675081195</c:v>
                </c:pt>
                <c:pt idx="11">
                  <c:v>-9.72779824810813</c:v>
                </c:pt>
                <c:pt idx="12">
                  <c:v>-9.95011781109286</c:v>
                </c:pt>
                <c:pt idx="13">
                  <c:v>-10.1773177999522</c:v>
                </c:pt>
                <c:pt idx="14">
                  <c:v>-10.4094914467771</c:v>
                </c:pt>
                <c:pt idx="15">
                  <c:v>-10.646732794941</c:v>
                </c:pt>
                <c:pt idx="16">
                  <c:v>-10.889136632467</c:v>
                </c:pt>
                <c:pt idx="17">
                  <c:v>-11.1367984190496</c:v>
                </c:pt>
                <c:pt idx="18">
                  <c:v>-11.3898142063795</c:v>
                </c:pt>
                <c:pt idx="19">
                  <c:v>-11.6482805514177</c:v>
                </c:pt>
                <c:pt idx="20">
                  <c:v>-11.912294422254</c:v>
                </c:pt>
                <c:pt idx="21">
                  <c:v>-12.1819530961832</c:v>
                </c:pt>
                <c:pt idx="22">
                  <c:v>-12.4573540496247</c:v>
                </c:pt>
                <c:pt idx="23">
                  <c:v>-12.7385948395137</c:v>
                </c:pt>
                <c:pt idx="24">
                  <c:v>-13.0257729757845</c:v>
                </c:pt>
                <c:pt idx="25">
                  <c:v>-13.31898578458</c:v>
                </c:pt>
                <c:pt idx="26">
                  <c:v>-13.6183302618141</c:v>
                </c:pt>
                <c:pt idx="27">
                  <c:v>-13.9239029167331</c:v>
                </c:pt>
                <c:pt idx="28">
                  <c:v>-14.2357996051238</c:v>
                </c:pt>
                <c:pt idx="29">
                  <c:v>-14.5541153518411</c:v>
                </c:pt>
                <c:pt idx="30">
                  <c:v>-14.8789441623379</c:v>
                </c:pt>
                <c:pt idx="31">
                  <c:v>-15.2103788229115</c:v>
                </c:pt>
                <c:pt idx="32">
                  <c:v>-15.5485106894056</c:v>
                </c:pt>
                <c:pt idx="33">
                  <c:v>-15.8934294641452</c:v>
                </c:pt>
                <c:pt idx="34">
                  <c:v>-16.2452229609163</c:v>
                </c:pt>
                <c:pt idx="35">
                  <c:v>-16.6039768578572</c:v>
                </c:pt>
                <c:pt idx="36">
                  <c:v>-16.9697744381729</c:v>
                </c:pt>
                <c:pt idx="37">
                  <c:v>-17.3426963186532</c:v>
                </c:pt>
                <c:pt idx="38">
                  <c:v>-17.7228201660365</c:v>
                </c:pt>
                <c:pt idx="39">
                  <c:v>-18.110220401342</c:v>
                </c:pt>
                <c:pt idx="40">
                  <c:v>-18.5049678923734</c:v>
                </c:pt>
                <c:pt idx="41">
                  <c:v>-18.9071296346942</c:v>
                </c:pt>
                <c:pt idx="42">
                  <c:v>-19.3167684214724</c:v>
                </c:pt>
                <c:pt idx="43">
                  <c:v>-19.7339425027029</c:v>
                </c:pt>
                <c:pt idx="44">
                  <c:v>-20.1587052344363</c:v>
                </c:pt>
                <c:pt idx="45">
                  <c:v>-20.5911047187673</c:v>
                </c:pt>
                <c:pt idx="46">
                  <c:v>-21.031183435471</c:v>
                </c:pt>
                <c:pt idx="47">
                  <c:v>-21.4789778663225</c:v>
                </c:pt>
                <c:pt idx="48">
                  <c:v>-21.9345181132758</c:v>
                </c:pt>
                <c:pt idx="49">
                  <c:v>-22.3978275118443</c:v>
                </c:pt>
                <c:pt idx="50">
                  <c:v>-22.8689222411793</c:v>
                </c:pt>
                <c:pt idx="51">
                  <c:v>-23.3478109325101</c:v>
                </c:pt>
                <c:pt idx="52">
                  <c:v>-23.834494277777</c:v>
                </c:pt>
                <c:pt idx="53">
                  <c:v>-24.3289646404561</c:v>
                </c:pt>
                <c:pt idx="54">
                  <c:v>-24.8312056707434</c:v>
                </c:pt>
                <c:pt idx="55">
                  <c:v>-25.3411919274234</c:v>
                </c:pt>
                <c:pt idx="56">
                  <c:v>-25.858888508915</c:v>
                </c:pt>
                <c:pt idx="57">
                  <c:v>-26.3842506961238</c:v>
                </c:pt>
                <c:pt idx="58">
                  <c:v>-26.9172236098772</c:v>
                </c:pt>
                <c:pt idx="59">
                  <c:v>-27.4577418858369</c:v>
                </c:pt>
                <c:pt idx="60">
                  <c:v>-28.0057293698855</c:v>
                </c:pt>
                <c:pt idx="61">
                  <c:v>-28.5610988370753</c:v>
                </c:pt>
                <c:pt idx="62">
                  <c:v>-29.1237517372759</c:v>
                </c:pt>
                <c:pt idx="63">
                  <c:v>-29.6935779706999</c:v>
                </c:pt>
                <c:pt idx="64">
                  <c:v>-30.2704556964754</c:v>
                </c:pt>
                <c:pt idx="65">
                  <c:v>-30.8542511774105</c:v>
                </c:pt>
                <c:pt idx="66">
                  <c:v>-31.4448186640154</c:v>
                </c:pt>
                <c:pt idx="67">
                  <c:v>-32.0420003207463</c:v>
                </c:pt>
                <c:pt idx="68">
                  <c:v>-32.6456261972777</c:v>
                </c:pt>
                <c:pt idx="69">
                  <c:v>-33.2555142474238</c:v>
                </c:pt>
                <c:pt idx="70">
                  <c:v>-33.8714703980836</c:v>
                </c:pt>
                <c:pt idx="71">
                  <c:v>-34.4932886703162</c:v>
                </c:pt>
                <c:pt idx="72">
                  <c:v>-35.1207513543209</c:v>
                </c:pt>
                <c:pt idx="73">
                  <c:v>-35.7536292397363</c:v>
                </c:pt>
                <c:pt idx="74">
                  <c:v>-36.3916819022729</c:v>
                </c:pt>
                <c:pt idx="75">
                  <c:v>-37.0346580472527</c:v>
                </c:pt>
                <c:pt idx="76">
                  <c:v>-37.682295910162</c:v>
                </c:pt>
                <c:pt idx="77">
                  <c:v>-38.3343237138307</c:v>
                </c:pt>
                <c:pt idx="78">
                  <c:v>-38.9904601813331</c:v>
                </c:pt>
                <c:pt idx="79">
                  <c:v>-39.6504151031837</c:v>
                </c:pt>
                <c:pt idx="80">
                  <c:v>-40.3138899568619</c:v>
                </c:pt>
                <c:pt idx="81">
                  <c:v>-40.9805785761719</c:v>
                </c:pt>
                <c:pt idx="82">
                  <c:v>-41.6501678674217</c:v>
                </c:pt>
                <c:pt idx="83">
                  <c:v>-42.3223385689032</c:v>
                </c:pt>
                <c:pt idx="84">
                  <c:v>-42.9967660496788</c:v>
                </c:pt>
                <c:pt idx="85">
                  <c:v>-43.6731211432398</c:v>
                </c:pt>
                <c:pt idx="86">
                  <c:v>-44.3510710112084</c:v>
                </c:pt>
                <c:pt idx="87">
                  <c:v>-45.030280031899</c:v>
                </c:pt>
                <c:pt idx="88">
                  <c:v>-45.7104107082774</c:v>
                </c:pt>
                <c:pt idx="89">
                  <c:v>-46.3911245896136</c:v>
                </c:pt>
                <c:pt idx="90">
                  <c:v>-47.0720832009764</c:v>
                </c:pt>
                <c:pt idx="91">
                  <c:v>-47.7529489746095</c:v>
                </c:pt>
                <c:pt idx="92">
                  <c:v>-48.4333861772276</c:v>
                </c:pt>
                <c:pt idx="93">
                  <c:v>-49.1130618272972</c:v>
                </c:pt>
                <c:pt idx="94">
                  <c:v>-49.7916465965116</c:v>
                </c:pt>
                <c:pt idx="95">
                  <c:v>-50.4688156898424</c:v>
                </c:pt>
                <c:pt idx="96">
                  <c:v>-51.1442496988098</c:v>
                </c:pt>
                <c:pt idx="97">
                  <c:v>-51.817635422929</c:v>
                </c:pt>
                <c:pt idx="98">
                  <c:v>-52.4886666546563</c:v>
                </c:pt>
                <c:pt idx="99">
                  <c:v>-53.1570449235769</c:v>
                </c:pt>
                <c:pt idx="100">
                  <c:v>-53.8224801960236</c:v>
                </c:pt>
                <c:pt idx="101">
                  <c:v>-54.4846915268192</c:v>
                </c:pt>
                <c:pt idx="102">
                  <c:v>-55.1434076603218</c:v>
                </c:pt>
                <c:pt idx="103">
                  <c:v>-55.7983675785115</c:v>
                </c:pt>
                <c:pt idx="104">
                  <c:v>-56.4493209943521</c:v>
                </c:pt>
                <c:pt idx="105">
                  <c:v>-57.0960287892288</c:v>
                </c:pt>
                <c:pt idx="106">
                  <c:v>-57.7382633937585</c:v>
                </c:pt>
                <c:pt idx="107">
                  <c:v>-58.3758091117928</c:v>
                </c:pt>
                <c:pt idx="108">
                  <c:v>-59.0084623879125</c:v>
                </c:pt>
                <c:pt idx="109">
                  <c:v>-59.6360320191656</c:v>
                </c:pt>
                <c:pt idx="110">
                  <c:v>-60.258339312231</c:v>
                </c:pt>
                <c:pt idx="111">
                  <c:v>-60.8752181875716</c:v>
                </c:pt>
                <c:pt idx="112">
                  <c:v>-61.4865152324848</c:v>
                </c:pt>
                <c:pt idx="113">
                  <c:v>-62.0920897052774</c:v>
                </c:pt>
                <c:pt idx="114">
                  <c:v>-62.6918134930306</c:v>
                </c:pt>
                <c:pt idx="115">
                  <c:v>-63.2855710256648</c:v>
                </c:pt>
                <c:pt idx="116">
                  <c:v>-63.8732591491656</c:v>
                </c:pt>
                <c:pt idx="117">
                  <c:v>-64.4547869609857</c:v>
                </c:pt>
                <c:pt idx="118">
                  <c:v>-65.030075610717</c:v>
                </c:pt>
                <c:pt idx="119">
                  <c:v>-65.5990580691856</c:v>
                </c:pt>
                <c:pt idx="120">
                  <c:v>-66.1616788691453</c:v>
                </c:pt>
                <c:pt idx="121">
                  <c:v>-66.7178938207269</c:v>
                </c:pt>
                <c:pt idx="122">
                  <c:v>-67.2676697047538</c:v>
                </c:pt>
                <c:pt idx="123">
                  <c:v>-67.8109839469784</c:v>
                </c:pt>
                <c:pt idx="124">
                  <c:v>-68.3478242761785</c:v>
                </c:pt>
                <c:pt idx="125">
                  <c:v>-68.878188368964</c:v>
                </c:pt>
                <c:pt idx="126">
                  <c:v>-69.4020834839941</c:v>
                </c:pt>
                <c:pt idx="127">
                  <c:v>-69.9195260881746</c:v>
                </c:pt>
                <c:pt idx="128">
                  <c:v>-70.430541477249</c:v>
                </c:pt>
                <c:pt idx="129">
                  <c:v>-70.9351633930307</c:v>
                </c:pt>
                <c:pt idx="130">
                  <c:v>-71.4334336393648</c:v>
                </c:pt>
                <c:pt idx="131">
                  <c:v>-71.9254016987348</c:v>
                </c:pt>
                <c:pt idx="132">
                  <c:v>-72.4111243512609</c:v>
                </c:pt>
                <c:pt idx="133">
                  <c:v>-72.8906652976708</c:v>
                </c:pt>
                <c:pt idx="134">
                  <c:v>-73.364094787655</c:v>
                </c:pt>
                <c:pt idx="135">
                  <c:v>-73.8314892548627</c:v>
                </c:pt>
                <c:pt idx="136">
                  <c:v>-74.2929309596328</c:v>
                </c:pt>
                <c:pt idx="137">
                  <c:v>-74.7485076404163</c:v>
                </c:pt>
                <c:pt idx="138">
                  <c:v>-75.1983121746912</c:v>
                </c:pt>
                <c:pt idx="139">
                  <c:v>-75.6424422500509</c:v>
                </c:pt>
                <c:pt idx="140">
                  <c:v>-76.0810000460104</c:v>
                </c:pt>
                <c:pt idx="141">
                  <c:v>-76.5140919269651</c:v>
                </c:pt>
                <c:pt idx="142">
                  <c:v>-76.9418281466248</c:v>
                </c:pt>
                <c:pt idx="143">
                  <c:v>-77.3643225641457</c:v>
                </c:pt>
                <c:pt idx="144">
                  <c:v>-77.7816923720903</c:v>
                </c:pt>
                <c:pt idx="145">
                  <c:v>-78.1940578362656</c:v>
                </c:pt>
                <c:pt idx="146">
                  <c:v>-78.6015420474069</c:v>
                </c:pt>
                <c:pt idx="147">
                  <c:v>-79.004270684614</c:v>
                </c:pt>
                <c:pt idx="148">
                  <c:v>-79.4023717903781</c:v>
                </c:pt>
                <c:pt idx="149">
                  <c:v>-79.7959755569903</c:v>
                </c:pt>
                <c:pt idx="150">
                  <c:v>-80.1852141240681</c:v>
                </c:pt>
                <c:pt idx="151">
                  <c:v>-80.5702213868983</c:v>
                </c:pt>
                <c:pt idx="152">
                  <c:v>-80.9511328152575</c:v>
                </c:pt>
                <c:pt idx="153">
                  <c:v>-81.328085282337</c:v>
                </c:pt>
                <c:pt idx="154">
                  <c:v>-81.7012169033763</c:v>
                </c:pt>
                <c:pt idx="155">
                  <c:v>-82.0706668835822</c:v>
                </c:pt>
                <c:pt idx="156">
                  <c:v>-82.4365753748938</c:v>
                </c:pt>
                <c:pt idx="157">
                  <c:v>-82.7990833411372</c:v>
                </c:pt>
                <c:pt idx="158">
                  <c:v>-83.1583324311012</c:v>
                </c:pt>
                <c:pt idx="159">
                  <c:v>-83.5144648590534</c:v>
                </c:pt>
                <c:pt idx="160">
                  <c:v>-83.8676232922117</c:v>
                </c:pt>
                <c:pt idx="161">
                  <c:v>-84.217950744676</c:v>
                </c:pt>
                <c:pt idx="162">
                  <c:v>-84.5655904773223</c:v>
                </c:pt>
                <c:pt idx="163">
                  <c:v>-84.9106859031601</c:v>
                </c:pt>
                <c:pt idx="164">
                  <c:v>-85.2533804976501</c:v>
                </c:pt>
                <c:pt idx="165">
                  <c:v>-85.5938177134773</c:v>
                </c:pt>
                <c:pt idx="166">
                  <c:v>-85.9321408992787</c:v>
                </c:pt>
                <c:pt idx="167">
                  <c:v>-86.268493221821</c:v>
                </c:pt>
                <c:pt idx="168">
                  <c:v>-86.6030175911252</c:v>
                </c:pt>
                <c:pt idx="169">
                  <c:v>-86.9358565880402</c:v>
                </c:pt>
                <c:pt idx="170">
                  <c:v>-87.2671523937616</c:v>
                </c:pt>
                <c:pt idx="171">
                  <c:v>-87.5970467208009</c:v>
                </c:pt>
                <c:pt idx="172">
                  <c:v>-87.925680744905</c:v>
                </c:pt>
                <c:pt idx="173">
                  <c:v>-88.2531950374319</c:v>
                </c:pt>
                <c:pt idx="174">
                  <c:v>-88.579729497687</c:v>
                </c:pt>
                <c:pt idx="175">
                  <c:v>-88.9054232847275</c:v>
                </c:pt>
                <c:pt idx="176">
                  <c:v>-89.23041474814</c:v>
                </c:pt>
                <c:pt idx="177">
                  <c:v>-89.5548413573022</c:v>
                </c:pt>
                <c:pt idx="178">
                  <c:v>-89.8788396286349</c:v>
                </c:pt>
                <c:pt idx="179">
                  <c:v>-90.2025450503566</c:v>
                </c:pt>
                <c:pt idx="180">
                  <c:v>-90.5260920042503</c:v>
                </c:pt>
                <c:pt idx="181">
                  <c:v>-90.8496136839533</c:v>
                </c:pt>
                <c:pt idx="182">
                  <c:v>-91.1732420092861</c:v>
                </c:pt>
                <c:pt idx="183">
                  <c:v>-91.4971075361331</c:v>
                </c:pt>
                <c:pt idx="184">
                  <c:v>-91.821339361394</c:v>
                </c:pt>
                <c:pt idx="185">
                  <c:v>-92.146065022527</c:v>
                </c:pt>
                <c:pt idx="186">
                  <c:v>-92.4714103912091</c:v>
                </c:pt>
                <c:pt idx="187">
                  <c:v>-92.7974995606444</c:v>
                </c:pt>
                <c:pt idx="188">
                  <c:v>-93.1244547260582</c:v>
                </c:pt>
                <c:pt idx="189">
                  <c:v>-93.4523960579246</c:v>
                </c:pt>
                <c:pt idx="190">
                  <c:v>-93.7814415674843</c:v>
                </c:pt>
                <c:pt idx="191">
                  <c:v>-94.1117069641241</c:v>
                </c:pt>
                <c:pt idx="192">
                  <c:v>-94.4433055042049</c:v>
                </c:pt>
                <c:pt idx="193">
                  <c:v>-94.7763478309438</c:v>
                </c:pt>
                <c:pt idx="194">
                  <c:v>-95.11094180498</c:v>
                </c:pt>
                <c:pt idx="195">
                  <c:v>-95.447192325277</c:v>
                </c:pt>
                <c:pt idx="196">
                  <c:v>-95.78520114005</c:v>
                </c:pt>
                <c:pt idx="197">
                  <c:v>-96.125066647436</c:v>
                </c:pt>
                <c:pt idx="198">
                  <c:v>-96.4668836856715</c:v>
                </c:pt>
                <c:pt idx="199">
                  <c:v>-96.8107433125839</c:v>
                </c:pt>
                <c:pt idx="200">
                  <c:v>-97.1567325742576</c:v>
                </c:pt>
                <c:pt idx="201">
                  <c:v>-97.5049342627952</c:v>
                </c:pt>
                <c:pt idx="202">
                  <c:v>-97.8554266631565</c:v>
                </c:pt>
                <c:pt idx="203">
                  <c:v>-98.2082832891381</c:v>
                </c:pt>
                <c:pt idx="204">
                  <c:v>-98.56357260863</c:v>
                </c:pt>
                <c:pt idx="205">
                  <c:v>-98.9213577583818</c:v>
                </c:pt>
                <c:pt idx="206">
                  <c:v>-99.2816962486008</c:v>
                </c:pt>
                <c:pt idx="207">
                  <c:v>-99.6446396578216</c:v>
                </c:pt>
                <c:pt idx="208">
                  <c:v>-100.010233318591</c:v>
                </c:pt>
                <c:pt idx="209">
                  <c:v>-100.378515994643</c:v>
                </c:pt>
                <c:pt idx="210">
                  <c:v>-100.749519550368</c:v>
                </c:pt>
                <c:pt idx="211">
                  <c:v>-101.123268613526</c:v>
                </c:pt>
                <c:pt idx="212">
                  <c:v>-101.499780232294</c:v>
                </c:pt>
                <c:pt idx="213">
                  <c:v>-101.879063527907</c:v>
                </c:pt>
                <c:pt idx="214">
                  <c:v>-102.261119344306</c:v>
                </c:pt>
                <c:pt idx="215">
                  <c:v>-102.645939896381</c:v>
                </c:pt>
                <c:pt idx="216">
                  <c:v>-103.033508418567</c:v>
                </c:pt>
                <c:pt idx="217">
                  <c:v>-103.423798815744</c:v>
                </c:pt>
                <c:pt idx="218">
                  <c:v>-103.816775318549</c:v>
                </c:pt>
                <c:pt idx="219">
                  <c:v>-104.212392145402</c:v>
                </c:pt>
                <c:pt idx="220">
                  <c:v>-104.610593173731</c:v>
                </c:pt>
                <c:pt idx="221">
                  <c:v>-105.01131162305</c:v>
                </c:pt>
                <c:pt idx="222">
                  <c:v>-105.414469752681</c:v>
                </c:pt>
                <c:pt idx="223">
                  <c:v>-105.819978577138</c:v>
                </c:pt>
                <c:pt idx="224">
                  <c:v>-106.227737602248</c:v>
                </c:pt>
                <c:pt idx="225">
                  <c:v>-106.637634585279</c:v>
                </c:pt>
                <c:pt idx="226">
                  <c:v>-107.049545322418</c:v>
                </c:pt>
                <c:pt idx="227">
                  <c:v>-107.46333346703</c:v>
                </c:pt>
                <c:pt idx="228">
                  <c:v>-107.878850382197</c:v>
                </c:pt>
                <c:pt idx="229">
                  <c:v>-108.295935031065</c:v>
                </c:pt>
                <c:pt idx="230">
                  <c:v>-108.714413908486</c:v>
                </c:pt>
                <c:pt idx="231">
                  <c:v>-109.134101017472</c:v>
                </c:pt>
                <c:pt idx="232">
                  <c:v>-109.554797893807</c:v>
                </c:pt>
                <c:pt idx="233">
                  <c:v>-109.976293682125</c:v>
                </c:pt>
                <c:pt idx="234">
                  <c:v>-110.398365266532</c:v>
                </c:pt>
                <c:pt idx="235">
                  <c:v>-110.820777458679</c:v>
                </c:pt>
                <c:pt idx="236">
                  <c:v>-111.243283245915</c:v>
                </c:pt>
                <c:pt idx="237">
                  <c:v>-111.665624101847</c:v>
                </c:pt>
                <c:pt idx="238">
                  <c:v>-112.087530361307</c:v>
                </c:pt>
                <c:pt idx="239">
                  <c:v>-112.508721661306</c:v>
                </c:pt>
                <c:pt idx="240">
                  <c:v>-112.928907449137</c:v>
                </c:pt>
                <c:pt idx="241">
                  <c:v>-113.347787558322</c:v>
                </c:pt>
                <c:pt idx="242">
                  <c:v>-113.765052852593</c:v>
                </c:pt>
                <c:pt idx="243">
                  <c:v>-114.180385937549</c:v>
                </c:pt>
                <c:pt idx="244">
                  <c:v>-114.593461939108</c:v>
                </c:pt>
                <c:pt idx="245">
                  <c:v>-115.003949347267</c:v>
                </c:pt>
                <c:pt idx="246">
                  <c:v>-115.411510923141</c:v>
                </c:pt>
                <c:pt idx="247">
                  <c:v>-115.815804666631</c:v>
                </c:pt>
                <c:pt idx="248">
                  <c:v>-116.216484841543</c:v>
                </c:pt>
                <c:pt idx="249">
                  <c:v>-116.613203054376</c:v>
                </c:pt>
                <c:pt idx="250">
                  <c:v>-117.005609382502</c:v>
                </c:pt>
                <c:pt idx="251">
                  <c:v>-117.393353546924</c:v>
                </c:pt>
                <c:pt idx="252">
                  <c:v>-117.776086124356</c:v>
                </c:pt>
                <c:pt idx="253">
                  <c:v>-118.153459792921</c:v>
                </c:pt>
                <c:pt idx="254">
                  <c:v>-118.525130605416</c:v>
                </c:pt>
                <c:pt idx="255">
                  <c:v>-118.890759283757</c:v>
                </c:pt>
                <c:pt idx="256">
                  <c:v>-119.250012527969</c:v>
                </c:pt>
                <c:pt idx="257">
                  <c:v>-119.602564332884</c:v>
                </c:pt>
                <c:pt idx="258">
                  <c:v>-119.948097305585</c:v>
                </c:pt>
                <c:pt idx="259">
                  <c:v>-120.286303976555</c:v>
                </c:pt>
                <c:pt idx="260">
                  <c:v>-120.616888097498</c:v>
                </c:pt>
                <c:pt idx="261">
                  <c:v>-120.939565918845</c:v>
                </c:pt>
                <c:pt idx="262">
                  <c:v>-121.254067440075</c:v>
                </c:pt>
                <c:pt idx="263">
                  <c:v>-121.560137626146</c:v>
                </c:pt>
                <c:pt idx="264">
                  <c:v>-121.857537583563</c:v>
                </c:pt>
                <c:pt idx="265">
                  <c:v>-122.146045689853</c:v>
                </c:pt>
                <c:pt idx="266">
                  <c:v>-122.425458670534</c:v>
                </c:pt>
                <c:pt idx="267">
                  <c:v>-122.695592617995</c:v>
                </c:pt>
                <c:pt idx="268">
                  <c:v>-122.956283947062</c:v>
                </c:pt>
                <c:pt idx="269">
                  <c:v>-123.207390282421</c:v>
                </c:pt>
                <c:pt idx="270">
                  <c:v>-123.448791273452</c:v>
                </c:pt>
                <c:pt idx="271">
                  <c:v>-123.680389332465</c:v>
                </c:pt>
                <c:pt idx="272">
                  <c:v>-123.902110292721</c:v>
                </c:pt>
                <c:pt idx="273">
                  <c:v>-124.113903983071</c:v>
                </c:pt>
                <c:pt idx="274">
                  <c:v>-124.315744716451</c:v>
                </c:pt>
                <c:pt idx="275">
                  <c:v>-124.50763168991</c:v>
                </c:pt>
                <c:pt idx="276">
                  <c:v>-124.689589294272</c:v>
                </c:pt>
                <c:pt idx="277">
                  <c:v>-124.861667331924</c:v>
                </c:pt>
                <c:pt idx="278">
                  <c:v>-125.023941141692</c:v>
                </c:pt>
                <c:pt idx="279">
                  <c:v>-125.176511630129</c:v>
                </c:pt>
                <c:pt idx="280">
                  <c:v>-125.319505208986</c:v>
                </c:pt>
                <c:pt idx="281">
                  <c:v>-125.453073639034</c:v>
                </c:pt>
                <c:pt idx="282">
                  <c:v>-125.577393780827</c:v>
                </c:pt>
                <c:pt idx="283">
                  <c:v>-125.692667253405</c:v>
                </c:pt>
                <c:pt idx="284">
                  <c:v>-125.79912000235</c:v>
                </c:pt>
                <c:pt idx="285">
                  <c:v>-125.897001779043</c:v>
                </c:pt>
                <c:pt idx="286">
                  <c:v>-125.986585533358</c:v>
                </c:pt>
                <c:pt idx="287">
                  <c:v>-126.068166722484</c:v>
                </c:pt>
                <c:pt idx="288">
                  <c:v>-126.142062538978</c:v>
                </c:pt>
                <c:pt idx="289">
                  <c:v>-126.208611061538</c:v>
                </c:pt>
                <c:pt idx="290">
                  <c:v>-126.268170332448</c:v>
                </c:pt>
                <c:pt idx="291">
                  <c:v>-126.321117366013</c:v>
                </c:pt>
                <c:pt idx="292">
                  <c:v>-126.367847092685</c:v>
                </c:pt>
                <c:pt idx="293">
                  <c:v>-126.40877124398</c:v>
                </c:pt>
                <c:pt idx="294">
                  <c:v>-126.444317183594</c:v>
                </c:pt>
                <c:pt idx="295">
                  <c:v>-126.474926690461</c:v>
                </c:pt>
                <c:pt idx="296">
                  <c:v>-126.501054699755</c:v>
                </c:pt>
                <c:pt idx="297">
                  <c:v>-126.523168008091</c:v>
                </c:pt>
                <c:pt idx="298">
                  <c:v>-126.541743949347</c:v>
                </c:pt>
                <c:pt idx="299">
                  <c:v>-126.557269047682</c:v>
                </c:pt>
                <c:pt idx="300">
                  <c:v>-126.570237654389</c:v>
                </c:pt>
                <c:pt idx="301">
                  <c:v>-126.581150575253</c:v>
                </c:pt>
                <c:pt idx="302">
                  <c:v>-126.590513695046</c:v>
                </c:pt>
                <c:pt idx="303">
                  <c:v>-126.598836605663</c:v>
                </c:pt>
                <c:pt idx="304">
                  <c:v>-126.606631244281</c:v>
                </c:pt>
                <c:pt idx="305">
                  <c:v>-126.614410547632</c:v>
                </c:pt>
                <c:pt idx="306">
                  <c:v>-126.622687128275</c:v>
                </c:pt>
                <c:pt idx="307">
                  <c:v>-126.631971978321</c:v>
                </c:pt>
                <c:pt idx="308">
                  <c:v>-126.642773205745</c:v>
                </c:pt>
                <c:pt idx="309">
                  <c:v>-126.655594807951</c:v>
                </c:pt>
                <c:pt idx="310">
                  <c:v>-126.670935486757</c:v>
                </c:pt>
                <c:pt idx="311">
                  <c:v>-126.689287508519</c:v>
                </c:pt>
                <c:pt idx="312">
                  <c:v>-126.711135612525</c:v>
                </c:pt>
                <c:pt idx="313">
                  <c:v>-126.736955970276</c:v>
                </c:pt>
                <c:pt idx="314">
                  <c:v>-126.767215197714</c:v>
                </c:pt>
                <c:pt idx="315">
                  <c:v>-126.802369421918</c:v>
                </c:pt>
                <c:pt idx="316">
                  <c:v>-126.842863403222</c:v>
                </c:pt>
                <c:pt idx="317">
                  <c:v>-126.889129713228</c:v>
                </c:pt>
                <c:pt idx="318">
                  <c:v>-126.941587968662</c:v>
                </c:pt>
                <c:pt idx="319">
                  <c:v>-127.000644120579</c:v>
                </c:pt>
                <c:pt idx="320">
                  <c:v>-127.06668979799</c:v>
                </c:pt>
                <c:pt idx="321">
                  <c:v>-127.140101704597</c:v>
                </c:pt>
                <c:pt idx="322">
                  <c:v>-127.221241067013</c:v>
                </c:pt>
                <c:pt idx="323">
                  <c:v>-127.310453132534</c:v>
                </c:pt>
                <c:pt idx="324">
                  <c:v>-127.408066714316</c:v>
                </c:pt>
                <c:pt idx="325">
                  <c:v>-127.514393781631</c:v>
                </c:pt>
                <c:pt idx="326">
                  <c:v>-127.629729092756</c:v>
                </c:pt>
                <c:pt idx="327">
                  <c:v>-127.754349867981</c:v>
                </c:pt>
                <c:pt idx="328">
                  <c:v>-127.888515500197</c:v>
                </c:pt>
                <c:pt idx="329">
                  <c:v>-128.032467300591</c:v>
                </c:pt>
                <c:pt idx="330">
                  <c:v>-128.186428277016</c:v>
                </c:pt>
                <c:pt idx="331">
                  <c:v>-128.350602942775</c:v>
                </c:pt>
                <c:pt idx="332">
                  <c:v>-128.525177153692</c:v>
                </c:pt>
                <c:pt idx="333">
                  <c:v>-128.710317971577</c:v>
                </c:pt>
                <c:pt idx="334">
                  <c:v>-128.906173552401</c:v>
                </c:pt>
                <c:pt idx="335">
                  <c:v>-129.112873057794</c:v>
                </c:pt>
                <c:pt idx="336">
                  <c:v>-129.330526588719</c:v>
                </c:pt>
                <c:pt idx="337">
                  <c:v>-129.559225140531</c:v>
                </c:pt>
                <c:pt idx="338">
                  <c:v>-129.799040578884</c:v>
                </c:pt>
                <c:pt idx="339">
                  <c:v>-130.050025636307</c:v>
                </c:pt>
                <c:pt idx="340">
                  <c:v>-130.312213929563</c:v>
                </c:pt>
                <c:pt idx="341">
                  <c:v>-130.585619998213</c:v>
                </c:pt>
                <c:pt idx="342">
                  <c:v>-130.87023936511</c:v>
                </c:pt>
                <c:pt idx="343">
                  <c:v>-131.166048619812</c:v>
                </c:pt>
                <c:pt idx="344">
                  <c:v>-131.473005526168</c:v>
                </c:pt>
                <c:pt idx="345">
                  <c:v>-131.791049155547</c:v>
                </c:pt>
                <c:pt idx="346">
                  <c:v>-132.12010004737</c:v>
                </c:pt>
                <c:pt idx="347">
                  <c:v>-132.460060398767</c:v>
                </c:pt>
                <c:pt idx="348">
                  <c:v>-132.810814285276</c:v>
                </c:pt>
                <c:pt idx="349">
                  <c:v>-133.172227914592</c:v>
                </c:pt>
                <c:pt idx="350">
                  <c:v>-133.544149915365</c:v>
                </c:pt>
                <c:pt idx="351">
                  <c:v>-133.92641166303</c:v>
                </c:pt>
                <c:pt idx="352">
                  <c:v>-134.318827644575</c:v>
                </c:pt>
                <c:pt idx="353">
                  <c:v>-134.721195863985</c:v>
                </c:pt>
                <c:pt idx="354">
                  <c:v>-135.133298289959</c:v>
                </c:pt>
                <c:pt idx="355">
                  <c:v>-135.554901347212</c:v>
                </c:pt>
                <c:pt idx="356">
                  <c:v>-135.985756452422</c:v>
                </c:pt>
                <c:pt idx="357">
                  <c:v>-136.425600595517</c:v>
                </c:pt>
                <c:pt idx="358">
                  <c:v>-136.874156966649</c:v>
                </c:pt>
                <c:pt idx="359">
                  <c:v>-137.331135628763</c:v>
                </c:pt>
                <c:pt idx="360">
                  <c:v>-137.796234235256</c:v>
                </c:pt>
                <c:pt idx="361">
                  <c:v>-138.269138791709</c:v>
                </c:pt>
                <c:pt idx="362">
                  <c:v>-138.749524460239</c:v>
                </c:pt>
                <c:pt idx="363">
                  <c:v>-139.237056404481</c:v>
                </c:pt>
                <c:pt idx="364">
                  <c:v>-139.731390672741</c:v>
                </c:pt>
                <c:pt idx="365">
                  <c:v>-140.232175116366</c:v>
                </c:pt>
                <c:pt idx="366">
                  <c:v>-140.7390503399</c:v>
                </c:pt>
                <c:pt idx="367">
                  <c:v>-141.251650679172</c:v>
                </c:pt>
                <c:pt idx="368">
                  <c:v>-141.76960520302</c:v>
                </c:pt>
                <c:pt idx="369">
                  <c:v>-142.292538734022</c:v>
                </c:pt>
                <c:pt idx="370">
                  <c:v>-142.820072883267</c:v>
                </c:pt>
                <c:pt idx="371">
                  <c:v>-143.351827093937</c:v>
                </c:pt>
                <c:pt idx="372">
                  <c:v>-143.887419688283</c:v>
                </c:pt>
                <c:pt idx="373">
                  <c:v>-144.426468912431</c:v>
                </c:pt>
                <c:pt idx="374">
                  <c:v>-144.968593973398</c:v>
                </c:pt>
                <c:pt idx="375">
                  <c:v>-145.513416062685</c:v>
                </c:pt>
                <c:pt idx="376">
                  <c:v>-146.06055936091</c:v>
                </c:pt>
                <c:pt idx="377">
                  <c:v>-146.609652018063</c:v>
                </c:pt>
                <c:pt idx="378">
                  <c:v>-147.160327104193</c:v>
                </c:pt>
                <c:pt idx="379">
                  <c:v>-147.712223525593</c:v>
                </c:pt>
                <c:pt idx="380">
                  <c:v>-148.264986901875</c:v>
                </c:pt>
                <c:pt idx="381">
                  <c:v>-148.818270399722</c:v>
                </c:pt>
                <c:pt idx="382">
                  <c:v>-149.371735519507</c:v>
                </c:pt>
                <c:pt idx="383">
                  <c:v>-149.925052831445</c:v>
                </c:pt>
                <c:pt idx="384">
                  <c:v>-150.477902658407</c:v>
                </c:pt>
                <c:pt idx="385">
                  <c:v>-151.029975703063</c:v>
                </c:pt>
                <c:pt idx="386">
                  <c:v>-151.580973617524</c:v>
                </c:pt>
                <c:pt idx="387">
                  <c:v>-152.130609514162</c:v>
                </c:pt>
                <c:pt idx="388">
                  <c:v>-152.678608416845</c:v>
                </c:pt>
                <c:pt idx="389">
                  <c:v>-153.224707652291</c:v>
                </c:pt>
                <c:pt idx="390">
                  <c:v>-153.768657181749</c:v>
                </c:pt>
                <c:pt idx="391">
                  <c:v>-154.310219873705</c:v>
                </c:pt>
                <c:pt idx="392">
                  <c:v>-154.849171718685</c:v>
                </c:pt>
                <c:pt idx="393">
                  <c:v>-155.385301987693</c:v>
                </c:pt>
                <c:pt idx="394">
                  <c:v>-155.918413336143</c:v>
                </c:pt>
                <c:pt idx="395">
                  <c:v>-156.448321855477</c:v>
                </c:pt>
                <c:pt idx="396">
                  <c:v>-156.974857074946</c:v>
                </c:pt>
                <c:pt idx="397">
                  <c:v>-157.497861916263</c:v>
                </c:pt>
                <c:pt idx="398">
                  <c:v>-158.017192604024</c:v>
                </c:pt>
                <c:pt idx="399">
                  <c:v>-158.532718534967</c:v>
                </c:pt>
                <c:pt idx="400">
                  <c:v>-159.04432210922</c:v>
                </c:pt>
                <c:pt idx="401">
                  <c:v>-159.551898526779</c:v>
                </c:pt>
                <c:pt idx="402">
                  <c:v>-160.055355552485</c:v>
                </c:pt>
                <c:pt idx="403">
                  <c:v>-160.554613252779</c:v>
                </c:pt>
                <c:pt idx="404">
                  <c:v>-161.049603707452</c:v>
                </c:pt>
                <c:pt idx="405">
                  <c:v>-161.540270699588</c:v>
                </c:pt>
                <c:pt idx="406">
                  <c:v>-162.026569386786</c:v>
                </c:pt>
                <c:pt idx="407">
                  <c:v>-162.508465956638</c:v>
                </c:pt>
                <c:pt idx="408">
                  <c:v>-162.985937269346</c:v>
                </c:pt>
                <c:pt idx="409">
                  <c:v>-163.458970490176</c:v>
                </c:pt>
                <c:pt idx="410">
                  <c:v>-163.927562714337</c:v>
                </c:pt>
                <c:pt idx="411">
                  <c:v>-164.391720586687</c:v>
                </c:pt>
                <c:pt idx="412">
                  <c:v>-164.851459918514</c:v>
                </c:pt>
                <c:pt idx="413">
                  <c:v>-165.306805303448</c:v>
                </c:pt>
                <c:pt idx="414">
                  <c:v>-165.757789734421</c:v>
                </c:pt>
                <c:pt idx="415">
                  <c:v>-166.2044542234</c:v>
                </c:pt>
                <c:pt idx="416">
                  <c:v>-166.646847425426</c:v>
                </c:pt>
                <c:pt idx="417">
                  <c:v>-167.085025268383</c:v>
                </c:pt>
                <c:pt idx="418">
                  <c:v>-167.519050589699</c:v>
                </c:pt>
                <c:pt idx="419">
                  <c:v>-167.948992781064</c:v>
                </c:pt>
                <c:pt idx="420">
                  <c:v>-168.374927442086</c:v>
                </c:pt>
                <c:pt idx="421">
                  <c:v>-168.796936043679</c:v>
                </c:pt>
                <c:pt idx="422">
                  <c:v>-169.215105601812</c:v>
                </c:pt>
                <c:pt idx="423">
                  <c:v>-169.629528362173</c:v>
                </c:pt>
                <c:pt idx="424">
                  <c:v>-170.04030149614</c:v>
                </c:pt>
                <c:pt idx="425">
                  <c:v>-170.447526808369</c:v>
                </c:pt>
                <c:pt idx="426">
                  <c:v>-170.851310456207</c:v>
                </c:pt>
                <c:pt idx="427">
                  <c:v>-171.251762681035</c:v>
                </c:pt>
                <c:pt idx="428">
                  <c:v>-171.648997551593</c:v>
                </c:pt>
                <c:pt idx="429">
                  <c:v>-172.043132719215</c:v>
                </c:pt>
                <c:pt idx="430">
                  <c:v>-172.434289184898</c:v>
                </c:pt>
                <c:pt idx="431">
                  <c:v>-172.822591078009</c:v>
                </c:pt>
                <c:pt idx="432">
                  <c:v>-173.208165446426</c:v>
                </c:pt>
                <c:pt idx="433">
                  <c:v>-173.591142057832</c:v>
                </c:pt>
                <c:pt idx="434">
                  <c:v>-173.971653211864</c:v>
                </c:pt>
                <c:pt idx="435">
                  <c:v>-174.349833562756</c:v>
                </c:pt>
                <c:pt idx="436">
                  <c:v>-174.725819952109</c:v>
                </c:pt>
                <c:pt idx="437">
                  <c:v>-175.09975125139</c:v>
                </c:pt>
                <c:pt idx="438">
                  <c:v>-175.471768213711</c:v>
                </c:pt>
                <c:pt idx="439">
                  <c:v>-175.842013334476</c:v>
                </c:pt>
                <c:pt idx="440">
                  <c:v>-176.210630720405</c:v>
                </c:pt>
                <c:pt idx="441">
                  <c:v>-176.577765966477</c:v>
                </c:pt>
                <c:pt idx="442">
                  <c:v>-176.943566040309</c:v>
                </c:pt>
                <c:pt idx="443">
                  <c:v>-177.308179173477</c:v>
                </c:pt>
                <c:pt idx="444">
                  <c:v>-177.671754759272</c:v>
                </c:pt>
                <c:pt idx="445">
                  <c:v>-178.034443256399</c:v>
                </c:pt>
                <c:pt idx="446">
                  <c:v>-178.396396098115</c:v>
                </c:pt>
                <c:pt idx="447">
                  <c:v>-178.757765606282</c:v>
                </c:pt>
                <c:pt idx="448">
                  <c:v>-179.118704909834</c:v>
                </c:pt>
                <c:pt idx="449">
                  <c:v>-179.479367867156</c:v>
                </c:pt>
                <c:pt idx="450">
                  <c:v>-179.839908991836</c:v>
                </c:pt>
                <c:pt idx="451">
                  <c:v>179.799516618689</c:v>
                </c:pt>
                <c:pt idx="452">
                  <c:v>179.43875335213</c:v>
                </c:pt>
                <c:pt idx="453">
                  <c:v>179.077645148489</c:v>
                </c:pt>
                <c:pt idx="454">
                  <c:v>178.716035565858</c:v>
                </c:pt>
                <c:pt idx="455">
                  <c:v>178.353767845385</c:v>
                </c:pt>
                <c:pt idx="456">
                  <c:v>177.990684975923</c:v>
                </c:pt>
                <c:pt idx="457">
                  <c:v>177.626629758872</c:v>
                </c:pt>
                <c:pt idx="458">
                  <c:v>177.261444873722</c:v>
                </c:pt>
                <c:pt idx="459">
                  <c:v>176.894972944811</c:v>
                </c:pt>
                <c:pt idx="460">
                  <c:v>176.527056609817</c:v>
                </c:pt>
                <c:pt idx="461">
                  <c:v>176.157538590484</c:v>
                </c:pt>
                <c:pt idx="462">
                  <c:v>175.786261766106</c:v>
                </c:pt>
                <c:pt idx="463">
                  <c:v>175.413069250282</c:v>
                </c:pt>
                <c:pt idx="464">
                  <c:v>175.037804471446</c:v>
                </c:pt>
                <c:pt idx="465">
                  <c:v>174.660311257703</c:v>
                </c:pt>
                <c:pt idx="466">
                  <c:v>174.280433926468</c:v>
                </c:pt>
                <c:pt idx="467">
                  <c:v>173.898017379425</c:v>
                </c:pt>
                <c:pt idx="468">
                  <c:v>173.512907203323</c:v>
                </c:pt>
                <c:pt idx="469">
                  <c:v>173.124949777105</c:v>
                </c:pt>
                <c:pt idx="470">
                  <c:v>172.733992385874</c:v>
                </c:pt>
                <c:pt idx="471">
                  <c:v>172.339883342198</c:v>
                </c:pt>
                <c:pt idx="472">
                  <c:v>171.942472115231</c:v>
                </c:pt>
                <c:pt idx="473">
                  <c:v>171.541609468139</c:v>
                </c:pt>
                <c:pt idx="474">
                  <c:v>171.137147604282</c:v>
                </c:pt>
                <c:pt idx="475">
                  <c:v>170.72894032261</c:v>
                </c:pt>
                <c:pt idx="476">
                  <c:v>170.316843182705</c:v>
                </c:pt>
                <c:pt idx="477">
                  <c:v>169.900713679868</c:v>
                </c:pt>
                <c:pt idx="478">
                  <c:v>169.480411430633</c:v>
                </c:pt>
                <c:pt idx="479">
                  <c:v>169.055798369067</c:v>
                </c:pt>
                <c:pt idx="480">
                  <c:v>168.626738954158</c:v>
                </c:pt>
                <c:pt idx="481">
                  <c:v>168.193100388572</c:v>
                </c:pt>
                <c:pt idx="482">
                  <c:v>167.754752849001</c:v>
                </c:pt>
                <c:pt idx="483">
                  <c:v>167.311569728272</c:v>
                </c:pt>
                <c:pt idx="484">
                  <c:v>166.863427889336</c:v>
                </c:pt>
                <c:pt idx="485">
                  <c:v>166.41020793117</c:v>
                </c:pt>
                <c:pt idx="486">
                  <c:v>165.951794466579</c:v>
                </c:pt>
                <c:pt idx="487">
                  <c:v>165.48807641177</c:v>
                </c:pt>
                <c:pt idx="488">
                  <c:v>165.018947287505</c:v>
                </c:pt>
                <c:pt idx="489">
                  <c:v>164.544305531528</c:v>
                </c:pt>
                <c:pt idx="490">
                  <c:v>164.064054821861</c:v>
                </c:pt>
                <c:pt idx="491">
                  <c:v>163.578104410441</c:v>
                </c:pt>
                <c:pt idx="492">
                  <c:v>163.086369466453</c:v>
                </c:pt>
                <c:pt idx="493">
                  <c:v>162.588771428576</c:v>
                </c:pt>
                <c:pt idx="494">
                  <c:v>162.085238365228</c:v>
                </c:pt>
                <c:pt idx="495">
                  <c:v>161.575705341734</c:v>
                </c:pt>
                <c:pt idx="496">
                  <c:v>161.060114793202</c:v>
                </c:pt>
                <c:pt idx="497">
                  <c:v>160.538416901721</c:v>
                </c:pt>
                <c:pt idx="498">
                  <c:v>160.010569976341</c:v>
                </c:pt>
                <c:pt idx="499">
                  <c:v>159.476540834115</c:v>
                </c:pt>
                <c:pt idx="500">
                  <c:v>158.936305180333</c:v>
                </c:pt>
                <c:pt idx="501">
                  <c:v>158.389847985874</c:v>
                </c:pt>
                <c:pt idx="502">
                  <c:v>157.837163859486</c:v>
                </c:pt>
                <c:pt idx="503">
                  <c:v>157.278257412592</c:v>
                </c:pt>
                <c:pt idx="504">
                  <c:v>156.713143614095</c:v>
                </c:pt>
                <c:pt idx="505">
                  <c:v>156.141848132499</c:v>
                </c:pt>
                <c:pt idx="506">
                  <c:v>155.564407662534</c:v>
                </c:pt>
                <c:pt idx="507">
                  <c:v>154.980870233351</c:v>
                </c:pt>
                <c:pt idx="508">
                  <c:v>154.391295495259</c:v>
                </c:pt>
                <c:pt idx="509">
                  <c:v>153.795754981908</c:v>
                </c:pt>
                <c:pt idx="510">
                  <c:v>153.194332344757</c:v>
                </c:pt>
                <c:pt idx="511">
                  <c:v>152.587123556649</c:v>
                </c:pt>
                <c:pt idx="512">
                  <c:v>151.974237081356</c:v>
                </c:pt>
                <c:pt idx="513">
                  <c:v>151.355794005955</c:v>
                </c:pt>
                <c:pt idx="514">
                  <c:v>150.731928133014</c:v>
                </c:pt>
                <c:pt idx="515">
                  <c:v>150.102786029699</c:v>
                </c:pt>
                <c:pt idx="516">
                  <c:v>149.468527031039</c:v>
                </c:pt>
                <c:pt idx="517">
                  <c:v>148.829323194845</c:v>
                </c:pt>
                <c:pt idx="518">
                  <c:v>148.185359205998</c:v>
                </c:pt>
                <c:pt idx="519">
                  <c:v>147.53683222813</c:v>
                </c:pt>
                <c:pt idx="520">
                  <c:v>146.883951701056</c:v>
                </c:pt>
                <c:pt idx="521">
                  <c:v>146.2269390827</c:v>
                </c:pt>
                <c:pt idx="522">
                  <c:v>145.566027534672</c:v>
                </c:pt>
                <c:pt idx="523">
                  <c:v>144.901461551099</c:v>
                </c:pt>
                <c:pt idx="524">
                  <c:v>144.233496530788</c:v>
                </c:pt>
                <c:pt idx="525">
                  <c:v>143.562398293325</c:v>
                </c:pt>
                <c:pt idx="526">
                  <c:v>142.888442540196</c:v>
                </c:pt>
                <c:pt idx="527">
                  <c:v>142.21191426259</c:v>
                </c:pt>
                <c:pt idx="528">
                  <c:v>141.533107098043</c:v>
                </c:pt>
                <c:pt idx="529">
                  <c:v>140.852322638613</c:v>
                </c:pt>
                <c:pt idx="530">
                  <c:v>140.169869693837</c:v>
                </c:pt>
                <c:pt idx="531">
                  <c:v>139.486063512127</c:v>
                </c:pt>
                <c:pt idx="532">
                  <c:v>138.801224964824</c:v>
                </c:pt>
                <c:pt idx="533">
                  <c:v>138.115679697467</c:v>
                </c:pt>
                <c:pt idx="534">
                  <c:v>137.429757253272</c:v>
                </c:pt>
                <c:pt idx="535">
                  <c:v>136.743790174115</c:v>
                </c:pt>
                <c:pt idx="536">
                  <c:v>136.058113084571</c:v>
                </c:pt>
                <c:pt idx="537">
                  <c:v>135.373061764802</c:v>
                </c:pt>
                <c:pt idx="538">
                  <c:v>134.688972218171</c:v>
                </c:pt>
                <c:pt idx="539">
                  <c:v>134.006179739562</c:v>
                </c:pt>
                <c:pt idx="540">
                  <c:v>133.325017990379</c:v>
                </c:pt>
                <c:pt idx="541">
                  <c:v>132.645818086073</c:v>
                </c:pt>
              </c:numCache>
            </c:numRef>
          </c:yVal>
          <c:smooth val="1"/>
        </c:ser>
        <c:dLbls>
          <c:showLegendKey val="0"/>
          <c:showVal val="0"/>
          <c:showCatName val="0"/>
          <c:showSerName val="0"/>
          <c:showPercent val="0"/>
          <c:showBubbleSize val="0"/>
        </c:dLbls>
        <c:axId val="175511040"/>
        <c:axId val="175509504"/>
      </c:scatterChart>
      <c:valAx>
        <c:axId val="178188288"/>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190208"/>
        <c:crosses val="autoZero"/>
        <c:crossBetween val="midCat"/>
      </c:valAx>
      <c:valAx>
        <c:axId val="178190208"/>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Gain</a:t>
                </a:r>
                <a:r>
                  <a:rPr lang="en-US" baseline="0"/>
                  <a:t> (dB)</a:t>
                </a:r>
                <a:endParaRPr lang="en-US"/>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188288"/>
        <c:crosses val="autoZero"/>
        <c:crossBetween val="midCat"/>
        <c:majorUnit val="20"/>
        <c:minorUnit val="10"/>
      </c:valAx>
      <c:valAx>
        <c:axId val="175511040"/>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09504"/>
        <c:crosses val="autoZero"/>
        <c:crossBetween val="midCat"/>
      </c:valAx>
      <c:valAx>
        <c:axId val="175509504"/>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11040"/>
        <c:crosses val="max"/>
        <c:crossBetween val="midCat"/>
        <c:majorUnit val="90"/>
        <c:minorUnit val="45"/>
      </c:valAx>
    </c:plotArea>
    <c:legend>
      <c:legendPos val="r"/>
      <c:layout>
        <c:manualLayout>
          <c:xMode val="edge"/>
          <c:yMode val="edge"/>
          <c:x val="0.798805582095125"/>
          <c:y val="0.14321997959862"/>
          <c:w val="0.134594492760573"/>
          <c:h val="0.106916098611994"/>
        </c:manualLayout>
      </c:layout>
      <c:overlay val="1"/>
      <c:spPr>
        <a:solidFill>
          <a:schemeClr val="bg1"/>
        </a:solidFill>
      </c:spPr>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9ab468d-2a4e-4a53-9b29-363742c6de08}"/>
      </c:ext>
    </c:extLst>
  </c:chart>
  <c:txPr>
    <a:bodyPr/>
    <a:lstStyle/>
    <a:p>
      <a:pPr>
        <a:defRPr lang="pl-PL"/>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a:t>Error</a:t>
            </a:r>
            <a:r>
              <a:rPr lang="en-US" baseline="0"/>
              <a:t> Amplifier Transfer</a:t>
            </a:r>
            <a:endParaRPr lang="en-US" baseline="0"/>
          </a:p>
        </c:rich>
      </c:tx>
      <c:layout/>
      <c:overlay val="0"/>
    </c:title>
    <c:autoTitleDeleted val="0"/>
    <c:plotArea>
      <c:layout/>
      <c:scatterChart>
        <c:scatterStyle val="smooth"/>
        <c:varyColors val="0"/>
        <c:ser>
          <c:idx val="0"/>
          <c:order val="0"/>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Loop_Modeling!$BD$19:$BD$560</c:f>
              <c:numCache>
                <c:formatCode>General</c:formatCode>
                <c:ptCount val="542"/>
                <c:pt idx="0">
                  <c:v>22.8951060488895</c:v>
                </c:pt>
                <c:pt idx="1">
                  <c:v>22.6953615587497</c:v>
                </c:pt>
                <c:pt idx="2">
                  <c:v>22.4956290942938</c:v>
                </c:pt>
                <c:pt idx="3">
                  <c:v>22.295909220721</c:v>
                </c:pt>
                <c:pt idx="4">
                  <c:v>22.0962025297184</c:v>
                </c:pt>
                <c:pt idx="5">
                  <c:v>21.8965096406943</c:v>
                </c:pt>
                <c:pt idx="6">
                  <c:v>21.696831202069</c:v>
                </c:pt>
                <c:pt idx="7">
                  <c:v>21.4971678926255</c:v>
                </c:pt>
                <c:pt idx="8">
                  <c:v>21.2975204229202</c:v>
                </c:pt>
                <c:pt idx="9">
                  <c:v>21.0978895367608</c:v>
                </c:pt>
                <c:pt idx="10">
                  <c:v>20.8982760127502</c:v>
                </c:pt>
                <c:pt idx="11">
                  <c:v>20.698680665901</c:v>
                </c:pt>
                <c:pt idx="12">
                  <c:v>20.4991043493251</c:v>
                </c:pt>
                <c:pt idx="13">
                  <c:v>20.2995479559982</c:v>
                </c:pt>
                <c:pt idx="14">
                  <c:v>20.1000124206071</c:v>
                </c:pt>
                <c:pt idx="15">
                  <c:v>19.9004987214778</c:v>
                </c:pt>
                <c:pt idx="16">
                  <c:v>19.7010078825947</c:v>
                </c:pt>
                <c:pt idx="17">
                  <c:v>19.5015409757077</c:v>
                </c:pt>
                <c:pt idx="18">
                  <c:v>19.3020991225372</c:v>
                </c:pt>
                <c:pt idx="19">
                  <c:v>19.1026834970764</c:v>
                </c:pt>
                <c:pt idx="20">
                  <c:v>18.9032953279991</c:v>
                </c:pt>
                <c:pt idx="21">
                  <c:v>18.7039359011738</c:v>
                </c:pt>
                <c:pt idx="22">
                  <c:v>18.5046065622916</c:v>
                </c:pt>
                <c:pt idx="23">
                  <c:v>18.3053087196106</c:v>
                </c:pt>
                <c:pt idx="24">
                  <c:v>18.1060438468236</c:v>
                </c:pt>
                <c:pt idx="25">
                  <c:v>17.9068134860515</c:v>
                </c:pt>
                <c:pt idx="26">
                  <c:v>17.7076192509712</c:v>
                </c:pt>
                <c:pt idx="27">
                  <c:v>17.5084628300802</c:v>
                </c:pt>
                <c:pt idx="28">
                  <c:v>17.3093459901052</c:v>
                </c:pt>
                <c:pt idx="29">
                  <c:v>17.1102705795604</c:v>
                </c:pt>
                <c:pt idx="30">
                  <c:v>16.9112385324611</c:v>
                </c:pt>
                <c:pt idx="31">
                  <c:v>16.712251872199</c:v>
                </c:pt>
                <c:pt idx="32">
                  <c:v>16.5133127155855</c:v>
                </c:pt>
                <c:pt idx="33">
                  <c:v>16.3144232770693</c:v>
                </c:pt>
                <c:pt idx="34">
                  <c:v>16.1155858731359</c:v>
                </c:pt>
                <c:pt idx="35">
                  <c:v>15.9168029268944</c:v>
                </c:pt>
                <c:pt idx="36">
                  <c:v>15.7180769728603</c:v>
                </c:pt>
                <c:pt idx="37">
                  <c:v>15.5194106619402</c:v>
                </c:pt>
                <c:pt idx="38">
                  <c:v>15.3208067666271</c:v>
                </c:pt>
                <c:pt idx="39">
                  <c:v>15.1222681864125</c:v>
                </c:pt>
                <c:pt idx="40">
                  <c:v>14.9237979534235</c:v>
                </c:pt>
                <c:pt idx="41">
                  <c:v>14.7253992382941</c:v>
                </c:pt>
                <c:pt idx="42">
                  <c:v>14.5270753562757</c:v>
                </c:pt>
                <c:pt idx="43">
                  <c:v>14.3288297735985</c:v>
                </c:pt>
                <c:pt idx="44">
                  <c:v>14.1306661140879</c:v>
                </c:pt>
                <c:pt idx="45">
                  <c:v>13.932588166048</c:v>
                </c:pt>
                <c:pt idx="46">
                  <c:v>13.7345998894178</c:v>
                </c:pt>
                <c:pt idx="47">
                  <c:v>13.5367054232092</c:v>
                </c:pt>
                <c:pt idx="48">
                  <c:v>13.3389090932351</c:v>
                </c:pt>
                <c:pt idx="49">
                  <c:v>13.1412154201355</c:v>
                </c:pt>
                <c:pt idx="50">
                  <c:v>12.9436291277096</c:v>
                </c:pt>
                <c:pt idx="51">
                  <c:v>12.7461551515626</c:v>
                </c:pt>
                <c:pt idx="52">
                  <c:v>12.5487986480725</c:v>
                </c:pt>
                <c:pt idx="53">
                  <c:v>12.3515650036887</c:v>
                </c:pt>
                <c:pt idx="54">
                  <c:v>12.1544598445638</c:v>
                </c:pt>
                <c:pt idx="55">
                  <c:v>11.9574890465305</c:v>
                </c:pt>
                <c:pt idx="56">
                  <c:v>11.7606587454269</c:v>
                </c:pt>
                <c:pt idx="57">
                  <c:v>11.5639753477764</c:v>
                </c:pt>
                <c:pt idx="58">
                  <c:v>11.3674455418284</c:v>
                </c:pt>
                <c:pt idx="59">
                  <c:v>11.1710763089619</c:v>
                </c:pt>
                <c:pt idx="60">
                  <c:v>10.9748749354583</c:v>
                </c:pt>
                <c:pt idx="61">
                  <c:v>10.7788490246436</c:v>
                </c:pt>
                <c:pt idx="62">
                  <c:v>10.5830065094019</c:v>
                </c:pt>
                <c:pt idx="63">
                  <c:v>10.3873556650619</c:v>
                </c:pt>
                <c:pt idx="64">
                  <c:v>10.1919051226527</c:v>
                </c:pt>
                <c:pt idx="65">
                  <c:v>9.99666388252831</c:v>
                </c:pt>
                <c:pt idx="66">
                  <c:v>9.80164132835492</c:v>
                </c:pt>
                <c:pt idx="67">
                  <c:v>9.60684724145545</c:v>
                </c:pt>
                <c:pt idx="68">
                  <c:v>9.41229181550258</c:v>
                </c:pt>
                <c:pt idx="69">
                  <c:v>9.2179856715487</c:v>
                </c:pt>
                <c:pt idx="70">
                  <c:v>9.02393987338079</c:v>
                </c:pt>
                <c:pt idx="71">
                  <c:v>8.83016594318295</c:v>
                </c:pt>
                <c:pt idx="72">
                  <c:v>8.63667587748747</c:v>
                </c:pt>
                <c:pt idx="73">
                  <c:v>8.44348216339262</c:v>
                </c:pt>
                <c:pt idx="74">
                  <c:v>8.25059779501946</c:v>
                </c:pt>
                <c:pt idx="75">
                  <c:v>8.05803629017985</c:v>
                </c:pt>
                <c:pt idx="76">
                  <c:v>7.86581170721929</c:v>
                </c:pt>
                <c:pt idx="77">
                  <c:v>7.6739386619968</c:v>
                </c:pt>
                <c:pt idx="78">
                  <c:v>7.48243234495851</c:v>
                </c:pt>
                <c:pt idx="79">
                  <c:v>7.29130853825542</c:v>
                </c:pt>
                <c:pt idx="80">
                  <c:v>7.10058363285168</c:v>
                </c:pt>
                <c:pt idx="81">
                  <c:v>6.91027464556259</c:v>
                </c:pt>
                <c:pt idx="82">
                  <c:v>6.72039923595713</c:v>
                </c:pt>
                <c:pt idx="83">
                  <c:v>6.53097572305039</c:v>
                </c:pt>
                <c:pt idx="84">
                  <c:v>6.34202310170822</c:v>
                </c:pt>
                <c:pt idx="85">
                  <c:v>6.15356105867548</c:v>
                </c:pt>
                <c:pt idx="86">
                  <c:v>5.96560998813449</c:v>
                </c:pt>
                <c:pt idx="87">
                  <c:v>5.77819100669143</c:v>
                </c:pt>
                <c:pt idx="88">
                  <c:v>5.59132596768046</c:v>
                </c:pt>
                <c:pt idx="89">
                  <c:v>5.4050374746672</c:v>
                </c:pt>
                <c:pt idx="90">
                  <c:v>5.21934889402555</c:v>
                </c:pt>
                <c:pt idx="91">
                  <c:v>5.03428436645222</c:v>
                </c:pt>
                <c:pt idx="92">
                  <c:v>4.84986881727586</c:v>
                </c:pt>
                <c:pt idx="93">
                  <c:v>4.66612796540883</c:v>
                </c:pt>
                <c:pt idx="94">
                  <c:v>4.48308833078177</c:v>
                </c:pt>
                <c:pt idx="95">
                  <c:v>4.30077724009211</c:v>
                </c:pt>
                <c:pt idx="96">
                  <c:v>4.11922283069214</c:v>
                </c:pt>
                <c:pt idx="97">
                  <c:v>3.93845405243195</c:v>
                </c:pt>
                <c:pt idx="98">
                  <c:v>3.75850066726944</c:v>
                </c:pt>
                <c:pt idx="99">
                  <c:v>3.57939324645111</c:v>
                </c:pt>
                <c:pt idx="100">
                  <c:v>3.40116316506355</c:v>
                </c:pt>
                <c:pt idx="101">
                  <c:v>3.22384259375269</c:v>
                </c:pt>
                <c:pt idx="102">
                  <c:v>3.04746448740414</c:v>
                </c:pt>
                <c:pt idx="103">
                  <c:v>2.8720625705773</c:v>
                </c:pt>
                <c:pt idx="104">
                  <c:v>2.6976713194878</c:v>
                </c:pt>
                <c:pt idx="105">
                  <c:v>2.52432594033386</c:v>
                </c:pt>
                <c:pt idx="106">
                  <c:v>2.35206234376995</c:v>
                </c:pt>
                <c:pt idx="107">
                  <c:v>2.18091711533399</c:v>
                </c:pt>
                <c:pt idx="108">
                  <c:v>2.01092748164851</c:v>
                </c:pt>
                <c:pt idx="109">
                  <c:v>1.84213127222717</c:v>
                </c:pt>
                <c:pt idx="110">
                  <c:v>1.67456687673154</c:v>
                </c:pt>
                <c:pt idx="111">
                  <c:v>1.50827319754516</c:v>
                </c:pt>
                <c:pt idx="112">
                  <c:v>1.34328959755239</c:v>
                </c:pt>
                <c:pt idx="113">
                  <c:v>1.17965584303279</c:v>
                </c:pt>
                <c:pt idx="114">
                  <c:v>1.01741204161413</c:v>
                </c:pt>
                <c:pt idx="115">
                  <c:v>0.856598575255735</c:v>
                </c:pt>
                <c:pt idx="116">
                  <c:v>0.697256028273013</c:v>
                </c:pt>
                <c:pt idx="117">
                  <c:v>0.539425110447549</c:v>
                </c:pt>
                <c:pt idx="118">
                  <c:v>0.383146575315415</c:v>
                </c:pt>
                <c:pt idx="119">
                  <c:v>0.228461133765692</c:v>
                </c:pt>
                <c:pt idx="120">
                  <c:v>0.0754093631324307</c:v>
                </c:pt>
                <c:pt idx="121">
                  <c:v>-0.0759683879905391</c:v>
                </c:pt>
                <c:pt idx="122">
                  <c:v>-0.225632098927397</c:v>
                </c:pt>
                <c:pt idx="123">
                  <c:v>-0.373542179757277</c:v>
                </c:pt>
                <c:pt idx="124">
                  <c:v>-0.519659577421341</c:v>
                </c:pt>
                <c:pt idx="125">
                  <c:v>-0.663945884659883</c:v>
                </c:pt>
                <c:pt idx="126">
                  <c:v>-0.806363451285728</c:v>
                </c:pt>
                <c:pt idx="127">
                  <c:v>-0.94687549725139</c:v>
                </c:pt>
                <c:pt idx="128">
                  <c:v>-1.08544622691968</c:v>
                </c:pt>
                <c:pt idx="129">
                  <c:v>-1.22204094390233</c:v>
                </c:pt>
                <c:pt idx="130">
                  <c:v>-1.35662616579321</c:v>
                </c:pt>
                <c:pt idx="131">
                  <c:v>-1.48916973808676</c:v>
                </c:pt>
                <c:pt idx="132">
                  <c:v>-1.61964094654634</c:v>
                </c:pt>
                <c:pt idx="133">
                  <c:v>-1.74801062726314</c:v>
                </c:pt>
                <c:pt idx="134">
                  <c:v>-1.8742512736361</c:v>
                </c:pt>
                <c:pt idx="135">
                  <c:v>-1.99833713949622</c:v>
                </c:pt>
                <c:pt idx="136">
                  <c:v>-2.12024433760388</c:v>
                </c:pt>
                <c:pt idx="137">
                  <c:v>-2.23995093275983</c:v>
                </c:pt>
                <c:pt idx="138">
                  <c:v>-2.35743702879536</c:v>
                </c:pt>
                <c:pt idx="139">
                  <c:v>-2.47268484873742</c:v>
                </c:pt>
                <c:pt idx="140">
                  <c:v>-2.58567880748834</c:v>
                </c:pt>
                <c:pt idx="141">
                  <c:v>-2.69640557640913</c:v>
                </c:pt>
                <c:pt idx="142">
                  <c:v>-2.80485413925726</c:v>
                </c:pt>
                <c:pt idx="143">
                  <c:v>-2.91101583899495</c:v>
                </c:pt>
                <c:pt idx="144">
                  <c:v>-3.0148844150617</c:v>
                </c:pt>
                <c:pt idx="145">
                  <c:v>-3.11645603078321</c:v>
                </c:pt>
                <c:pt idx="146">
                  <c:v>-3.21572929067667</c:v>
                </c:pt>
                <c:pt idx="147">
                  <c:v>-3.31270524750117</c:v>
                </c:pt>
                <c:pt idx="148">
                  <c:v>-3.40738739899374</c:v>
                </c:pt>
                <c:pt idx="149">
                  <c:v>-3.4997816743254</c:v>
                </c:pt>
                <c:pt idx="150">
                  <c:v>-3.58989641040238</c:v>
                </c:pt>
                <c:pt idx="151">
                  <c:v>-3.67774231823031</c:v>
                </c:pt>
                <c:pt idx="152">
                  <c:v>-3.76333243964396</c:v>
                </c:pt>
                <c:pt idx="153">
                  <c:v>-3.84668209478944</c:v>
                </c:pt>
                <c:pt idx="154">
                  <c:v>-3.92780882082184</c:v>
                </c:pt>
                <c:pt idx="155">
                  <c:v>-4.00673230235135</c:v>
                </c:pt>
                <c:pt idx="156">
                  <c:v>-4.08347429423303</c:v>
                </c:pt>
                <c:pt idx="157">
                  <c:v>-4.15805853734919</c:v>
                </c:pt>
                <c:pt idx="158">
                  <c:v>-4.2305106680783</c:v>
                </c:pt>
                <c:pt idx="159">
                  <c:v>-4.3008581221789</c:v>
                </c:pt>
                <c:pt idx="160">
                  <c:v>-4.36913003384387</c:v>
                </c:pt>
                <c:pt idx="161">
                  <c:v>-4.43535713069506</c:v>
                </c:pt>
                <c:pt idx="162">
                  <c:v>-4.49957162549644</c:v>
                </c:pt>
                <c:pt idx="163">
                  <c:v>-4.56180710536107</c:v>
                </c:pt>
                <c:pt idx="164">
                  <c:v>-4.62209841921554</c:v>
                </c:pt>
                <c:pt idx="165">
                  <c:v>-4.68048156426841</c:v>
                </c:pt>
                <c:pt idx="166">
                  <c:v>-4.7369935722013</c:v>
                </c:pt>
                <c:pt idx="167">
                  <c:v>-4.7916723957704</c:v>
                </c:pt>
                <c:pt idx="168">
                  <c:v>-4.84455679646625</c:v>
                </c:pt>
                <c:pt idx="169">
                  <c:v>-4.89568623383951</c:v>
                </c:pt>
                <c:pt idx="170">
                  <c:v>-4.94510075705048</c:v>
                </c:pt>
                <c:pt idx="171">
                  <c:v>-4.99284089915399</c:v>
                </c:pt>
                <c:pt idx="172">
                  <c:v>-5.03894757457755</c:v>
                </c:pt>
                <c:pt idx="173">
                  <c:v>-5.08346198019931</c:v>
                </c:pt>
                <c:pt idx="174">
                  <c:v>-5.12642550037882</c:v>
                </c:pt>
                <c:pt idx="175">
                  <c:v>-5.16787961624088</c:v>
                </c:pt>
                <c:pt idx="176">
                  <c:v>-5.20786581946204</c:v>
                </c:pt>
                <c:pt idx="177">
                  <c:v>-5.24642553075811</c:v>
                </c:pt>
                <c:pt idx="178">
                  <c:v>-5.28360002322336</c:v>
                </c:pt>
                <c:pt idx="179">
                  <c:v>-5.31943035062784</c:v>
                </c:pt>
                <c:pt idx="180">
                  <c:v>-5.35395728073433</c:v>
                </c:pt>
                <c:pt idx="181">
                  <c:v>-5.38722123365881</c:v>
                </c:pt>
                <c:pt idx="182">
                  <c:v>-5.41926222526128</c:v>
                </c:pt>
                <c:pt idx="183">
                  <c:v>-5.45011981552058</c:v>
                </c:pt>
                <c:pt idx="184">
                  <c:v>-5.47983306181734</c:v>
                </c:pt>
                <c:pt idx="185">
                  <c:v>-5.5084404770241</c:v>
                </c:pt>
                <c:pt idx="186">
                  <c:v>-5.53597999227705</c:v>
                </c:pt>
                <c:pt idx="187">
                  <c:v>-5.56248892428681</c:v>
                </c:pt>
                <c:pt idx="188">
                  <c:v>-5.5880039470266</c:v>
                </c:pt>
                <c:pt idx="189">
                  <c:v>-5.61256106762559</c:v>
                </c:pt>
                <c:pt idx="190">
                  <c:v>-5.63619560628281</c:v>
                </c:pt>
                <c:pt idx="191">
                  <c:v>-5.65894218001031</c:v>
                </c:pt>
                <c:pt idx="192">
                  <c:v>-5.68083469000749</c:v>
                </c:pt>
                <c:pt idx="193">
                  <c:v>-5.70190631246827</c:v>
                </c:pt>
                <c:pt idx="194">
                  <c:v>-5.7221894926165</c:v>
                </c:pt>
                <c:pt idx="195">
                  <c:v>-5.74171594177186</c:v>
                </c:pt>
                <c:pt idx="196">
                  <c:v>-5.76051663724485</c:v>
                </c:pt>
                <c:pt idx="197">
                  <c:v>-5.77862182486663</c:v>
                </c:pt>
                <c:pt idx="198">
                  <c:v>-5.79606102396368</c:v>
                </c:pt>
                <c:pt idx="199">
                  <c:v>-5.81286303459</c:v>
                </c:pt>
                <c:pt idx="200">
                  <c:v>-5.82905594684201</c:v>
                </c:pt>
                <c:pt idx="201">
                  <c:v>-5.84466715208086</c:v>
                </c:pt>
                <c:pt idx="202">
                  <c:v>-5.85972335590169</c:v>
                </c:pt>
                <c:pt idx="203">
                  <c:v>-5.87425059269288</c:v>
                </c:pt>
                <c:pt idx="204">
                  <c:v>-5.88827424163842</c:v>
                </c:pt>
                <c:pt idx="205">
                  <c:v>-5.90181904402491</c:v>
                </c:pt>
                <c:pt idx="206">
                  <c:v>-5.91490912172337</c:v>
                </c:pt>
                <c:pt idx="207">
                  <c:v>-5.92756799672378</c:v>
                </c:pt>
                <c:pt idx="208">
                  <c:v>-5.93981861161081</c:v>
                </c:pt>
                <c:pt idx="209">
                  <c:v>-5.95168335087436</c:v>
                </c:pt>
                <c:pt idx="210">
                  <c:v>-5.9631840629601</c:v>
                </c:pt>
                <c:pt idx="211">
                  <c:v>-5.97434208297104</c:v>
                </c:pt>
                <c:pt idx="212">
                  <c:v>-5.98517825593872</c:v>
                </c:pt>
                <c:pt idx="213">
                  <c:v>-5.99571296059125</c:v>
                </c:pt>
                <c:pt idx="214">
                  <c:v>-6.00596613355136</c:v>
                </c:pt>
                <c:pt idx="215">
                  <c:v>-6.01595729390437</c:v>
                </c:pt>
                <c:pt idx="216">
                  <c:v>-6.0257055680826</c:v>
                </c:pt>
                <c:pt idx="217">
                  <c:v>-6.03522971501841</c:v>
                </c:pt>
                <c:pt idx="218">
                  <c:v>-6.0445481515236</c:v>
                </c:pt>
                <c:pt idx="219">
                  <c:v>-6.05367897785809</c:v>
                </c:pt>
                <c:pt idx="220">
                  <c:v>-6.06264000345472</c:v>
                </c:pt>
                <c:pt idx="221">
                  <c:v>-6.07144877277367</c:v>
                </c:pt>
                <c:pt idx="222">
                  <c:v>-6.08012259126059</c:v>
                </c:pt>
                <c:pt idx="223">
                  <c:v>-6.08867855138897</c:v>
                </c:pt>
                <c:pt idx="224">
                  <c:v>-6.09713355876942</c:v>
                </c:pt>
                <c:pt idx="225">
                  <c:v>-6.1055043583108</c:v>
                </c:pt>
                <c:pt idx="226">
                  <c:v>-6.1138075604218</c:v>
                </c:pt>
                <c:pt idx="227">
                  <c:v>-6.12205966724262</c:v>
                </c:pt>
                <c:pt idx="228">
                  <c:v>-6.13027709889916</c:v>
                </c:pt>
                <c:pt idx="229">
                  <c:v>-6.13847621977242</c:v>
                </c:pt>
                <c:pt idx="230">
                  <c:v>-6.14667336477833</c:v>
                </c:pt>
                <c:pt idx="231">
                  <c:v>-6.15488486565187</c:v>
                </c:pt>
                <c:pt idx="232">
                  <c:v>-6.16312707723275</c:v>
                </c:pt>
                <c:pt idx="233">
                  <c:v>-6.17141640374605</c:v>
                </c:pt>
                <c:pt idx="234">
                  <c:v>-6.17976932507502</c:v>
                </c:pt>
                <c:pt idx="235">
                  <c:v>-6.18820242301924</c:v>
                </c:pt>
                <c:pt idx="236">
                  <c:v>-6.19673240753278</c:v>
                </c:pt>
                <c:pt idx="237">
                  <c:v>-6.20537614293346</c:v>
                </c:pt>
                <c:pt idx="238">
                  <c:v>-6.21415067407538</c:v>
                </c:pt>
                <c:pt idx="239">
                  <c:v>-6.22307325247121</c:v>
                </c:pt>
                <c:pt idx="240">
                  <c:v>-6.23216136235296</c:v>
                </c:pt>
                <c:pt idx="241">
                  <c:v>-6.24143274665176</c:v>
                </c:pt>
                <c:pt idx="242">
                  <c:v>-6.25090543287961</c:v>
                </c:pt>
                <c:pt idx="243">
                  <c:v>-6.26059775888793</c:v>
                </c:pt>
                <c:pt idx="244">
                  <c:v>-6.27052839847711</c:v>
                </c:pt>
                <c:pt idx="245">
                  <c:v>-6.28071638682449</c:v>
                </c:pt>
                <c:pt idx="246">
                  <c:v>-6.29118114569611</c:v>
                </c:pt>
                <c:pt idx="247">
                  <c:v>-6.30194250840025</c:v>
                </c:pt>
                <c:pt idx="248">
                  <c:v>-6.31302074443667</c:v>
                </c:pt>
                <c:pt idx="249">
                  <c:v>-6.32443658378959</c:v>
                </c:pt>
                <c:pt idx="250">
                  <c:v>-6.33621124080522</c:v>
                </c:pt>
                <c:pt idx="251">
                  <c:v>-6.34836643759018</c:v>
                </c:pt>
                <c:pt idx="252">
                  <c:v>-6.3609244268578</c:v>
                </c:pt>
                <c:pt idx="253">
                  <c:v>-6.37390801414394</c:v>
                </c:pt>
                <c:pt idx="254">
                  <c:v>-6.38734057930552</c:v>
                </c:pt>
                <c:pt idx="255">
                  <c:v>-6.40124609720688</c:v>
                </c:pt>
                <c:pt idx="256">
                  <c:v>-6.41564915749309</c:v>
                </c:pt>
                <c:pt idx="257">
                  <c:v>-6.43057498333637</c:v>
                </c:pt>
                <c:pt idx="258">
                  <c:v>-6.44604944903973</c:v>
                </c:pt>
                <c:pt idx="259">
                  <c:v>-6.46209909636704</c:v>
                </c:pt>
                <c:pt idx="260">
                  <c:v>-6.47875114946494</c:v>
                </c:pt>
                <c:pt idx="261">
                  <c:v>-6.49603352823049</c:v>
                </c:pt>
                <c:pt idx="262">
                  <c:v>-6.51397485997145</c:v>
                </c:pt>
                <c:pt idx="263">
                  <c:v>-6.53260448919793</c:v>
                </c:pt>
                <c:pt idx="264">
                  <c:v>-6.55195248537469</c:v>
                </c:pt>
                <c:pt idx="265">
                  <c:v>-6.57204964845902</c:v>
                </c:pt>
                <c:pt idx="266">
                  <c:v>-6.59292751203938</c:v>
                </c:pt>
                <c:pt idx="267">
                  <c:v>-6.61461834388613</c:v>
                </c:pt>
                <c:pt idx="268">
                  <c:v>-6.63715514371968</c:v>
                </c:pt>
                <c:pt idx="269">
                  <c:v>-6.66057163799836</c:v>
                </c:pt>
                <c:pt idx="270">
                  <c:v>-6.68490227152468</c:v>
                </c:pt>
                <c:pt idx="271">
                  <c:v>-6.7101821956694</c:v>
                </c:pt>
                <c:pt idx="272">
                  <c:v>-6.73644725301141</c:v>
                </c:pt>
                <c:pt idx="273">
                  <c:v>-6.76373395819641</c:v>
                </c:pt>
                <c:pt idx="274">
                  <c:v>-6.79207947482027</c:v>
                </c:pt>
                <c:pt idx="275">
                  <c:v>-6.8215215881514</c:v>
                </c:pt>
                <c:pt idx="276">
                  <c:v>-6.85209867351618</c:v>
                </c:pt>
                <c:pt idx="277">
                  <c:v>-6.88384966018286</c:v>
                </c:pt>
                <c:pt idx="278">
                  <c:v>-6.91681399059699</c:v>
                </c:pt>
                <c:pt idx="279">
                  <c:v>-6.95103157483808</c:v>
                </c:pt>
                <c:pt idx="280">
                  <c:v>-6.98654274019022</c:v>
                </c:pt>
                <c:pt idx="281">
                  <c:v>-7.02338817574432</c:v>
                </c:pt>
                <c:pt idx="282">
                  <c:v>-7.06160887197852</c:v>
                </c:pt>
                <c:pt idx="283">
                  <c:v>-7.10124605529539</c:v>
                </c:pt>
                <c:pt idx="284">
                  <c:v>-7.14234111752927</c:v>
                </c:pt>
                <c:pt idx="285">
                  <c:v>-7.18493554047779</c:v>
                </c:pt>
                <c:pt idx="286">
                  <c:v>-7.22907081555148</c:v>
                </c:pt>
                <c:pt idx="287">
                  <c:v>-7.27478835868132</c:v>
                </c:pt>
                <c:pt idx="288">
                  <c:v>-7.32212942067152</c:v>
                </c:pt>
                <c:pt idx="289">
                  <c:v>-7.37113499323405</c:v>
                </c:pt>
                <c:pt idx="290">
                  <c:v>-7.42184571099287</c:v>
                </c:pt>
                <c:pt idx="291">
                  <c:v>-7.47430174979755</c:v>
                </c:pt>
                <c:pt idx="292">
                  <c:v>-7.52854272174164</c:v>
                </c:pt>
                <c:pt idx="293">
                  <c:v>-7.58460756732883</c:v>
                </c:pt>
                <c:pt idx="294">
                  <c:v>-7.64253444528732</c:v>
                </c:pt>
                <c:pt idx="295">
                  <c:v>-7.70236062057924</c:v>
                </c:pt>
                <c:pt idx="296">
                  <c:v>-7.76412235120003</c:v>
                </c:pt>
                <c:pt idx="297">
                  <c:v>-7.82785477440739</c:v>
                </c:pt>
                <c:pt idx="298">
                  <c:v>-7.89359179305769</c:v>
                </c:pt>
                <c:pt idx="299">
                  <c:v>-7.96136596276162</c:v>
                </c:pt>
                <c:pt idx="300">
                  <c:v>-8.03120838060042</c:v>
                </c:pt>
                <c:pt idx="301">
                  <c:v>-8.10314857616116</c:v>
                </c:pt>
                <c:pt idx="302">
                  <c:v>-8.17721440566627</c:v>
                </c:pt>
                <c:pt idx="303">
                  <c:v>-8.25343194997383</c:v>
                </c:pt>
                <c:pt idx="304">
                  <c:v>-8.33182541722299</c:v>
                </c:pt>
                <c:pt idx="305">
                  <c:v>-8.41241705088323</c:v>
                </c:pt>
                <c:pt idx="306">
                  <c:v>-8.49522704394341</c:v>
                </c:pt>
                <c:pt idx="307">
                  <c:v>-8.58027345994458</c:v>
                </c:pt>
                <c:pt idx="308">
                  <c:v>-8.6675721615163</c:v>
                </c:pt>
                <c:pt idx="309">
                  <c:v>-8.75713674702608</c:v>
                </c:pt>
                <c:pt idx="310">
                  <c:v>-8.84897849589014</c:v>
                </c:pt>
                <c:pt idx="311">
                  <c:v>-8.9431063230268</c:v>
                </c:pt>
                <c:pt idx="312">
                  <c:v>-9.03952674285821</c:v>
                </c:pt>
                <c:pt idx="313">
                  <c:v>-9.13824384318303</c:v>
                </c:pt>
                <c:pt idx="314">
                  <c:v>-9.23925926916014</c:v>
                </c:pt>
                <c:pt idx="315">
                  <c:v>-9.3425722175502</c:v>
                </c:pt>
                <c:pt idx="316">
                  <c:v>-9.44817944127161</c:v>
                </c:pt>
                <c:pt idx="317">
                  <c:v>-9.5560752642346</c:v>
                </c:pt>
                <c:pt idx="318">
                  <c:v>-9.66625160632384</c:v>
                </c:pt>
                <c:pt idx="319">
                  <c:v>-9.77869801830993</c:v>
                </c:pt>
                <c:pt idx="320">
                  <c:v>-9.89340172638531</c:v>
                </c:pt>
                <c:pt idx="321">
                  <c:v>-10.0103476859337</c:v>
                </c:pt>
                <c:pt idx="322">
                  <c:v>-10.1295186440689</c:v>
                </c:pt>
                <c:pt idx="323">
                  <c:v>-10.2508952104092</c:v>
                </c:pt>
                <c:pt idx="324">
                  <c:v>-10.3744559354899</c:v>
                </c:pt>
                <c:pt idx="325">
                  <c:v>-10.5001773961645</c:v>
                </c:pt>
                <c:pt idx="326">
                  <c:v>-10.6280342873012</c:v>
                </c:pt>
                <c:pt idx="327">
                  <c:v>-10.757999519045</c:v>
                </c:pt>
                <c:pt idx="328">
                  <c:v>-10.8900443188932</c:v>
                </c:pt>
                <c:pt idx="329">
                  <c:v>-11.0241383378131</c:v>
                </c:pt>
                <c:pt idx="330">
                  <c:v>-11.1602497596271</c:v>
                </c:pt>
                <c:pt idx="331">
                  <c:v>-11.2983454128915</c:v>
                </c:pt>
                <c:pt idx="332">
                  <c:v>-11.4383908845093</c:v>
                </c:pt>
                <c:pt idx="333">
                  <c:v>-11.5803506343319</c:v>
                </c:pt>
                <c:pt idx="334">
                  <c:v>-11.7241881100354</c:v>
                </c:pt>
                <c:pt idx="335">
                  <c:v>-11.8698658615886</c:v>
                </c:pt>
                <c:pt idx="336">
                  <c:v>-12.017345654667</c:v>
                </c:pt>
                <c:pt idx="337">
                  <c:v>-12.1665885824127</c:v>
                </c:pt>
                <c:pt idx="338">
                  <c:v>-12.3175551749831</c:v>
                </c:pt>
                <c:pt idx="339">
                  <c:v>-12.4702055063862</c:v>
                </c:pt>
                <c:pt idx="340">
                  <c:v>-12.6244992981458</c:v>
                </c:pt>
                <c:pt idx="341">
                  <c:v>-12.7803960193983</c:v>
                </c:pt>
                <c:pt idx="342">
                  <c:v>-12.9378549830715</c:v>
                </c:pt>
                <c:pt idx="343">
                  <c:v>-13.0968354378507</c:v>
                </c:pt>
                <c:pt idx="344">
                  <c:v>-13.2572966556902</c:v>
                </c:pt>
                <c:pt idx="345">
                  <c:v>-13.4191980146733</c:v>
                </c:pt>
                <c:pt idx="346">
                  <c:v>-13.582499077079</c:v>
                </c:pt>
                <c:pt idx="347">
                  <c:v>-13.7471596625532</c:v>
                </c:pt>
                <c:pt idx="348">
                  <c:v>-13.913139916327</c:v>
                </c:pt>
                <c:pt idx="349">
                  <c:v>-14.0804003724661</c:v>
                </c:pt>
                <c:pt idx="350">
                  <c:v>-14.2489020121669</c:v>
                </c:pt>
                <c:pt idx="351">
                  <c:v>-14.4186063171539</c:v>
                </c:pt>
                <c:pt idx="352">
                  <c:v>-14.589475318256</c:v>
                </c:pt>
                <c:pt idx="353">
                  <c:v>-14.7614716392715</c:v>
                </c:pt>
                <c:pt idx="354">
                  <c:v>-14.9345585362495</c:v>
                </c:pt>
                <c:pt idx="355">
                  <c:v>-15.1086999323371</c:v>
                </c:pt>
                <c:pt idx="356">
                  <c:v>-15.283860448359</c:v>
                </c:pt>
                <c:pt idx="357">
                  <c:v>-15.4600054293053</c:v>
                </c:pt>
                <c:pt idx="358">
                  <c:v>-15.6371009669206</c:v>
                </c:pt>
                <c:pt idx="359">
                  <c:v>-15.8151139185871</c:v>
                </c:pt>
                <c:pt idx="360">
                  <c:v>-15.9940119227068</c:v>
                </c:pt>
                <c:pt idx="361">
                  <c:v>-16.1737634107885</c:v>
                </c:pt>
                <c:pt idx="362">
                  <c:v>-16.3543376164446</c:v>
                </c:pt>
                <c:pt idx="363">
                  <c:v>-16.5357045815064</c:v>
                </c:pt>
                <c:pt idx="364">
                  <c:v>-16.7178351594609</c:v>
                </c:pt>
                <c:pt idx="365">
                  <c:v>-16.9007010164108</c:v>
                </c:pt>
                <c:pt idx="366">
                  <c:v>-17.0842746297542</c:v>
                </c:pt>
                <c:pt idx="367">
                  <c:v>-17.2685292847745</c:v>
                </c:pt>
                <c:pt idx="368">
                  <c:v>-17.4534390693259</c:v>
                </c:pt>
                <c:pt idx="369">
                  <c:v>-17.6389788667908</c:v>
                </c:pt>
                <c:pt idx="370">
                  <c:v>-17.8251243474803</c:v>
                </c:pt>
                <c:pt idx="371">
                  <c:v>-18.0118519586396</c:v>
                </c:pt>
                <c:pt idx="372">
                  <c:v>-18.1991389132115</c:v>
                </c:pt>
                <c:pt idx="373">
                  <c:v>-18.3869631775039</c:v>
                </c:pt>
                <c:pt idx="374">
                  <c:v>-18.5753034578989</c:v>
                </c:pt>
                <c:pt idx="375">
                  <c:v>-18.7641391867308</c:v>
                </c:pt>
                <c:pt idx="376">
                  <c:v>-18.9534505074551</c:v>
                </c:pt>
                <c:pt idx="377">
                  <c:v>-19.1432182592184</c:v>
                </c:pt>
                <c:pt idx="378">
                  <c:v>-19.3334239609348</c:v>
                </c:pt>
                <c:pt idx="379">
                  <c:v>-19.5240497949643</c:v>
                </c:pt>
                <c:pt idx="380">
                  <c:v>-19.7150785904825</c:v>
                </c:pt>
                <c:pt idx="381">
                  <c:v>-19.9064938066218</c:v>
                </c:pt>
                <c:pt idx="382">
                  <c:v>-20.0982795154601</c:v>
                </c:pt>
                <c:pt idx="383">
                  <c:v>-20.2904203849233</c:v>
                </c:pt>
                <c:pt idx="384">
                  <c:v>-20.4829016616653</c:v>
                </c:pt>
                <c:pt idx="385">
                  <c:v>-20.6757091539785</c:v>
                </c:pt>
                <c:pt idx="386">
                  <c:v>-20.8688292147872</c:v>
                </c:pt>
                <c:pt idx="387">
                  <c:v>-21.0622487247681</c:v>
                </c:pt>
                <c:pt idx="388">
                  <c:v>-21.2559550756365</c:v>
                </c:pt>
                <c:pt idx="389">
                  <c:v>-21.4499361536351</c:v>
                </c:pt>
                <c:pt idx="390">
                  <c:v>-21.6441803232566</c:v>
                </c:pt>
                <c:pt idx="391">
                  <c:v>-21.8386764112254</c:v>
                </c:pt>
                <c:pt idx="392">
                  <c:v>-22.0334136907629</c:v>
                </c:pt>
                <c:pt idx="393">
                  <c:v>-22.2283818661578</c:v>
                </c:pt>
                <c:pt idx="394">
                  <c:v>-22.423571057655</c:v>
                </c:pt>
                <c:pt idx="395">
                  <c:v>-22.6189717866804</c:v>
                </c:pt>
                <c:pt idx="396">
                  <c:v>-22.8145749614115</c:v>
                </c:pt>
                <c:pt idx="397">
                  <c:v>-23.0103718627022</c:v>
                </c:pt>
                <c:pt idx="398">
                  <c:v>-23.2063541303709</c:v>
                </c:pt>
                <c:pt idx="399">
                  <c:v>-23.4025137498543</c:v>
                </c:pt>
                <c:pt idx="400">
                  <c:v>-23.5988430392321</c:v>
                </c:pt>
                <c:pt idx="401">
                  <c:v>-23.795334636623</c:v>
                </c:pt>
                <c:pt idx="402">
                  <c:v>-23.9919814879521</c:v>
                </c:pt>
                <c:pt idx="403">
                  <c:v>-24.1887768350897</c:v>
                </c:pt>
                <c:pt idx="404">
                  <c:v>-24.3857142043583</c:v>
                </c:pt>
                <c:pt idx="405">
                  <c:v>-24.5827873954045</c:v>
                </c:pt>
                <c:pt idx="406">
                  <c:v>-24.7799904704323</c:v>
                </c:pt>
                <c:pt idx="407">
                  <c:v>-24.9773177437919</c:v>
                </c:pt>
                <c:pt idx="408">
                  <c:v>-25.1747637719202</c:v>
                </c:pt>
                <c:pt idx="409">
                  <c:v>-25.3723233436248</c:v>
                </c:pt>
                <c:pt idx="410">
                  <c:v>-25.5699914707063</c:v>
                </c:pt>
                <c:pt idx="411">
                  <c:v>-25.7677633789114</c:v>
                </c:pt>
                <c:pt idx="412">
                  <c:v>-25.9656344992096</c:v>
                </c:pt>
                <c:pt idx="413">
                  <c:v>-26.1636004593858</c:v>
                </c:pt>
                <c:pt idx="414">
                  <c:v>-26.3616570759402</c:v>
                </c:pt>
                <c:pt idx="415">
                  <c:v>-26.5598003462895</c:v>
                </c:pt>
                <c:pt idx="416">
                  <c:v>-26.7580264412593</c:v>
                </c:pt>
                <c:pt idx="417">
                  <c:v>-26.95633169786</c:v>
                </c:pt>
                <c:pt idx="418">
                  <c:v>-27.154712612339</c:v>
                </c:pt>
                <c:pt idx="419">
                  <c:v>-27.3531658334995</c:v>
                </c:pt>
                <c:pt idx="420">
                  <c:v>-27.5516881562785</c:v>
                </c:pt>
                <c:pt idx="421">
                  <c:v>-27.7502765155763</c:v>
                </c:pt>
                <c:pt idx="422">
                  <c:v>-27.9489279803279</c:v>
                </c:pt>
                <c:pt idx="423">
                  <c:v>-28.1476397478107</c:v>
                </c:pt>
                <c:pt idx="424">
                  <c:v>-28.3464091381772</c:v>
                </c:pt>
                <c:pt idx="425">
                  <c:v>-28.5452335892092</c:v>
                </c:pt>
                <c:pt idx="426">
                  <c:v>-28.7441106512824</c:v>
                </c:pt>
                <c:pt idx="427">
                  <c:v>-28.9430379825355</c:v>
                </c:pt>
                <c:pt idx="428">
                  <c:v>-29.1420133442362</c:v>
                </c:pt>
                <c:pt idx="429">
                  <c:v>-29.3410345963378</c:v>
                </c:pt>
                <c:pt idx="430">
                  <c:v>-29.5400996932174</c:v>
                </c:pt>
                <c:pt idx="431">
                  <c:v>-29.7392066795914</c:v>
                </c:pt>
                <c:pt idx="432">
                  <c:v>-29.9383536866</c:v>
                </c:pt>
                <c:pt idx="433">
                  <c:v>-30.1375389280554</c:v>
                </c:pt>
                <c:pt idx="434">
                  <c:v>-30.3367606968461</c:v>
                </c:pt>
                <c:pt idx="435">
                  <c:v>-30.5360173614928</c:v>
                </c:pt>
                <c:pt idx="436">
                  <c:v>-30.7353073628492</c:v>
                </c:pt>
                <c:pt idx="437">
                  <c:v>-30.9346292109417</c:v>
                </c:pt>
                <c:pt idx="438">
                  <c:v>-31.1339814819443</c:v>
                </c:pt>
                <c:pt idx="439">
                  <c:v>-31.3333628152801</c:v>
                </c:pt>
                <c:pt idx="440">
                  <c:v>-31.5327719108486</c:v>
                </c:pt>
                <c:pt idx="441">
                  <c:v>-31.732207526369</c:v>
                </c:pt>
                <c:pt idx="442">
                  <c:v>-31.9316684748396</c:v>
                </c:pt>
                <c:pt idx="443">
                  <c:v>-32.1311536221048</c:v>
                </c:pt>
                <c:pt idx="444">
                  <c:v>-32.330661884527</c:v>
                </c:pt>
                <c:pt idx="445">
                  <c:v>-32.5301922267591</c:v>
                </c:pt>
                <c:pt idx="446">
                  <c:v>-32.7297436596137</c:v>
                </c:pt>
                <c:pt idx="447">
                  <c:v>-32.9293152380233</c:v>
                </c:pt>
                <c:pt idx="448">
                  <c:v>-33.1289060590898</c:v>
                </c:pt>
                <c:pt idx="449">
                  <c:v>-33.3285152602193</c:v>
                </c:pt>
                <c:pt idx="450">
                  <c:v>-33.5281420173361</c:v>
                </c:pt>
                <c:pt idx="451">
                  <c:v>-33.7277855431768</c:v>
                </c:pt>
                <c:pt idx="452">
                  <c:v>-33.9274450856575</c:v>
                </c:pt>
                <c:pt idx="453">
                  <c:v>-34.1271199263121</c:v>
                </c:pt>
                <c:pt idx="454">
                  <c:v>-34.3268093788004</c:v>
                </c:pt>
                <c:pt idx="455">
                  <c:v>-34.52651278748</c:v>
                </c:pt>
                <c:pt idx="456">
                  <c:v>-34.726229526042</c:v>
                </c:pt>
                <c:pt idx="457">
                  <c:v>-34.925958996206</c:v>
                </c:pt>
                <c:pt idx="458">
                  <c:v>-35.1257006264725</c:v>
                </c:pt>
                <c:pt idx="459">
                  <c:v>-35.3254538709303</c:v>
                </c:pt>
                <c:pt idx="460">
                  <c:v>-35.525218208117</c:v>
                </c:pt>
                <c:pt idx="461">
                  <c:v>-35.7249931399289</c:v>
                </c:pt>
                <c:pt idx="462">
                  <c:v>-35.9247781905795</c:v>
                </c:pt>
                <c:pt idx="463">
                  <c:v>-36.1245729056041</c:v>
                </c:pt>
                <c:pt idx="464">
                  <c:v>-36.324376850908</c:v>
                </c:pt>
                <c:pt idx="465">
                  <c:v>-36.5241896118571</c:v>
                </c:pt>
                <c:pt idx="466">
                  <c:v>-36.7240107924091</c:v>
                </c:pt>
                <c:pt idx="467">
                  <c:v>-36.9238400142825</c:v>
                </c:pt>
                <c:pt idx="468">
                  <c:v>-37.1236769161631</c:v>
                </c:pt>
                <c:pt idx="469">
                  <c:v>-37.3235211529452</c:v>
                </c:pt>
                <c:pt idx="470">
                  <c:v>-37.523372395007</c:v>
                </c:pt>
                <c:pt idx="471">
                  <c:v>-37.7232303275182</c:v>
                </c:pt>
                <c:pt idx="472">
                  <c:v>-37.9230946497774</c:v>
                </c:pt>
                <c:pt idx="473">
                  <c:v>-38.1229650745804</c:v>
                </c:pt>
                <c:pt idx="474">
                  <c:v>-38.3228413276158</c:v>
                </c:pt>
                <c:pt idx="475">
                  <c:v>-38.5227231468875</c:v>
                </c:pt>
                <c:pt idx="476">
                  <c:v>-38.7226102821634</c:v>
                </c:pt>
                <c:pt idx="477">
                  <c:v>-38.9225024944481</c:v>
                </c:pt>
                <c:pt idx="478">
                  <c:v>-39.1223995554796</c:v>
                </c:pt>
                <c:pt idx="479">
                  <c:v>-39.3223012472481</c:v>
                </c:pt>
                <c:pt idx="480">
                  <c:v>-39.5222073615367</c:v>
                </c:pt>
                <c:pt idx="481">
                  <c:v>-39.722117699482</c:v>
                </c:pt>
                <c:pt idx="482">
                  <c:v>-39.922032071155</c:v>
                </c:pt>
                <c:pt idx="483">
                  <c:v>-40.12195029516</c:v>
                </c:pt>
                <c:pt idx="484">
                  <c:v>-40.3218721982525</c:v>
                </c:pt>
                <c:pt idx="485">
                  <c:v>-40.5217976149726</c:v>
                </c:pt>
                <c:pt idx="486">
                  <c:v>-40.7217263872966</c:v>
                </c:pt>
                <c:pt idx="487">
                  <c:v>-40.9216583643025</c:v>
                </c:pt>
                <c:pt idx="488">
                  <c:v>-41.1215934018521</c:v>
                </c:pt>
                <c:pt idx="489">
                  <c:v>-41.3215313622856</c:v>
                </c:pt>
                <c:pt idx="490">
                  <c:v>-41.5214721141316</c:v>
                </c:pt>
                <c:pt idx="491">
                  <c:v>-41.7214155318284</c:v>
                </c:pt>
                <c:pt idx="492">
                  <c:v>-41.9213614954597</c:v>
                </c:pt>
                <c:pt idx="493">
                  <c:v>-42.1213098905001</c:v>
                </c:pt>
                <c:pt idx="494">
                  <c:v>-42.3212606075733</c:v>
                </c:pt>
                <c:pt idx="495">
                  <c:v>-42.521213542221</c:v>
                </c:pt>
                <c:pt idx="496">
                  <c:v>-42.721168594682</c:v>
                </c:pt>
                <c:pt idx="497">
                  <c:v>-42.9211256696808</c:v>
                </c:pt>
                <c:pt idx="498">
                  <c:v>-43.1210846762266</c:v>
                </c:pt>
                <c:pt idx="499">
                  <c:v>-43.3210455274201</c:v>
                </c:pt>
                <c:pt idx="500">
                  <c:v>-43.5210081402705</c:v>
                </c:pt>
                <c:pt idx="501">
                  <c:v>-43.720972435519</c:v>
                </c:pt>
                <c:pt idx="502">
                  <c:v>-43.920938337472</c:v>
                </c:pt>
                <c:pt idx="503">
                  <c:v>-44.1209057738396</c:v>
                </c:pt>
                <c:pt idx="504">
                  <c:v>-44.3208746755839</c:v>
                </c:pt>
                <c:pt idx="505">
                  <c:v>-44.5208449767723</c:v>
                </c:pt>
                <c:pt idx="506">
                  <c:v>-44.7208166144377</c:v>
                </c:pt>
                <c:pt idx="507">
                  <c:v>-44.9207895284454</c:v>
                </c:pt>
                <c:pt idx="508">
                  <c:v>-45.1207636613656</c:v>
                </c:pt>
                <c:pt idx="509">
                  <c:v>-45.3207389583523</c:v>
                </c:pt>
                <c:pt idx="510">
                  <c:v>-45.5207153670265</c:v>
                </c:pt>
                <c:pt idx="511">
                  <c:v>-45.7206928373654</c:v>
                </c:pt>
                <c:pt idx="512">
                  <c:v>-45.9206713215969</c:v>
                </c:pt>
                <c:pt idx="513">
                  <c:v>-46.120650774098</c:v>
                </c:pt>
                <c:pt idx="514">
                  <c:v>-46.320631151298</c:v>
                </c:pt>
                <c:pt idx="515">
                  <c:v>-46.5206124115867</c:v>
                </c:pt>
                <c:pt idx="516">
                  <c:v>-46.7205945152257</c:v>
                </c:pt>
                <c:pt idx="517">
                  <c:v>-46.9205774242648</c:v>
                </c:pt>
                <c:pt idx="518">
                  <c:v>-47.1205611024611</c:v>
                </c:pt>
                <c:pt idx="519">
                  <c:v>-47.3205455152021</c:v>
                </c:pt>
                <c:pt idx="520">
                  <c:v>-47.5205306294331</c:v>
                </c:pt>
                <c:pt idx="521">
                  <c:v>-47.7205164135864</c:v>
                </c:pt>
                <c:pt idx="522">
                  <c:v>-47.9205028375147</c:v>
                </c:pt>
                <c:pt idx="523">
                  <c:v>-48.1204898724273</c:v>
                </c:pt>
                <c:pt idx="524">
                  <c:v>-48.3204774908287</c:v>
                </c:pt>
                <c:pt idx="525">
                  <c:v>-48.5204656664609</c:v>
                </c:pt>
                <c:pt idx="526">
                  <c:v>-48.7204543742473</c:v>
                </c:pt>
                <c:pt idx="527">
                  <c:v>-48.9204435902395</c:v>
                </c:pt>
                <c:pt idx="528">
                  <c:v>-49.120433291567</c:v>
                </c:pt>
                <c:pt idx="529">
                  <c:v>-49.3204234563883</c:v>
                </c:pt>
                <c:pt idx="530">
                  <c:v>-49.5204140638448</c:v>
                </c:pt>
                <c:pt idx="531">
                  <c:v>-49.7204050940164</c:v>
                </c:pt>
                <c:pt idx="532">
                  <c:v>-49.9203965278795</c:v>
                </c:pt>
                <c:pt idx="533">
                  <c:v>-50.1203883472664</c:v>
                </c:pt>
                <c:pt idx="534">
                  <c:v>-50.3203805348271</c:v>
                </c:pt>
                <c:pt idx="535">
                  <c:v>-50.5203730739925</c:v>
                </c:pt>
                <c:pt idx="536">
                  <c:v>-50.7203659489387</c:v>
                </c:pt>
                <c:pt idx="537">
                  <c:v>-50.9203591445543</c:v>
                </c:pt>
                <c:pt idx="538">
                  <c:v>-51.1203526464077</c:v>
                </c:pt>
                <c:pt idx="539">
                  <c:v>-51.3203464407167</c:v>
                </c:pt>
                <c:pt idx="540">
                  <c:v>-51.5203405143195</c:v>
                </c:pt>
                <c:pt idx="541">
                  <c:v>-51.7203348546466</c:v>
                </c:pt>
              </c:numCache>
            </c:numRef>
          </c:yVal>
          <c:smooth val="1"/>
        </c:ser>
        <c:dLbls>
          <c:showLegendKey val="0"/>
          <c:showVal val="0"/>
          <c:showCatName val="0"/>
          <c:showSerName val="0"/>
          <c:showPercent val="0"/>
          <c:showBubbleSize val="0"/>
        </c:dLbls>
        <c:axId val="175558656"/>
        <c:axId val="175560576"/>
      </c:scatterChart>
      <c:scatterChart>
        <c:scatterStyle val="smooth"/>
        <c:varyColors val="0"/>
        <c:ser>
          <c:idx val="1"/>
          <c:order val="1"/>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Loop_Modeling!$BE$19:$BE$560</c:f>
              <c:numCache>
                <c:formatCode>General</c:formatCode>
                <c:ptCount val="542"/>
                <c:pt idx="0">
                  <c:v>91.9828963036862</c:v>
                </c:pt>
                <c:pt idx="1">
                  <c:v>92.02904322495</c:v>
                </c:pt>
                <c:pt idx="2">
                  <c:v>92.0762621407672</c:v>
                </c:pt>
                <c:pt idx="3">
                  <c:v>92.1245778136954</c:v>
                </c:pt>
                <c:pt idx="4">
                  <c:v>92.1740155683</c:v>
                </c:pt>
                <c:pt idx="5">
                  <c:v>92.2246013031928</c:v>
                </c:pt>
                <c:pt idx="6">
                  <c:v>92.276361503277</c:v>
                </c:pt>
                <c:pt idx="7">
                  <c:v>92.3293232521975</c:v>
                </c:pt>
                <c:pt idx="8">
                  <c:v>92.3835142449961</c:v>
                </c:pt>
                <c:pt idx="9">
                  <c:v>92.4389628009694</c:v>
                </c:pt>
                <c:pt idx="10">
                  <c:v>92.4956978767291</c:v>
                </c:pt>
                <c:pt idx="11">
                  <c:v>92.5537490794615</c:v>
                </c:pt>
                <c:pt idx="12">
                  <c:v>92.6131466803837</c:v>
                </c:pt>
                <c:pt idx="13">
                  <c:v>92.6739216283941</c:v>
                </c:pt>
                <c:pt idx="14">
                  <c:v>92.7361055639115</c:v>
                </c:pt>
                <c:pt idx="15">
                  <c:v>92.7997308329002</c:v>
                </c:pt>
                <c:pt idx="16">
                  <c:v>92.8648305010749</c:v>
                </c:pt>
                <c:pt idx="17">
                  <c:v>92.9314383682789</c:v>
                </c:pt>
                <c:pt idx="18">
                  <c:v>92.99958898303</c:v>
                </c:pt>
                <c:pt idx="19">
                  <c:v>93.0693176572253</c:v>
                </c:pt>
                <c:pt idx="20">
                  <c:v>93.1406604809958</c:v>
                </c:pt>
                <c:pt idx="21">
                  <c:v>93.213654337703</c:v>
                </c:pt>
                <c:pt idx="22">
                  <c:v>93.2883369190634</c:v>
                </c:pt>
                <c:pt idx="23">
                  <c:v>93.3647467403918</c:v>
                </c:pt>
                <c:pt idx="24">
                  <c:v>93.4429231559482</c:v>
                </c:pt>
                <c:pt idx="25">
                  <c:v>93.5229063743733</c:v>
                </c:pt>
                <c:pt idx="26">
                  <c:v>93.6047374741974</c:v>
                </c:pt>
                <c:pt idx="27">
                  <c:v>93.6884584194039</c:v>
                </c:pt>
                <c:pt idx="28">
                  <c:v>93.7741120750271</c:v>
                </c:pt>
                <c:pt idx="29">
                  <c:v>93.8617422227643</c:v>
                </c:pt>
                <c:pt idx="30">
                  <c:v>93.9513935765773</c:v>
                </c:pt>
                <c:pt idx="31">
                  <c:v>94.0431117982581</c:v>
                </c:pt>
                <c:pt idx="32">
                  <c:v>94.1369435129307</c:v>
                </c:pt>
                <c:pt idx="33">
                  <c:v>94.2329363244587</c:v>
                </c:pt>
                <c:pt idx="34">
                  <c:v>94.3311388307263</c:v>
                </c:pt>
                <c:pt idx="35">
                  <c:v>94.4316006387557</c:v>
                </c:pt>
                <c:pt idx="36">
                  <c:v>94.5343723796234</c:v>
                </c:pt>
                <c:pt idx="37">
                  <c:v>94.6395057231335</c:v>
                </c:pt>
                <c:pt idx="38">
                  <c:v>94.7470533922024</c:v>
                </c:pt>
                <c:pt idx="39">
                  <c:v>94.8570691769067</c:v>
                </c:pt>
                <c:pt idx="40">
                  <c:v>94.9696079481413</c:v>
                </c:pt>
                <c:pt idx="41">
                  <c:v>95.0847256708332</c:v>
                </c:pt>
                <c:pt idx="42">
                  <c:v>95.202479416647</c:v>
                </c:pt>
                <c:pt idx="43">
                  <c:v>95.322927376121</c:v>
                </c:pt>
                <c:pt idx="44">
                  <c:v>95.4461288701609</c:v>
                </c:pt>
                <c:pt idx="45">
                  <c:v>95.5721443608178</c:v>
                </c:pt>
                <c:pt idx="46">
                  <c:v>95.7010354612703</c:v>
                </c:pt>
                <c:pt idx="47">
                  <c:v>95.8328649449241</c:v>
                </c:pt>
                <c:pt idx="48">
                  <c:v>95.9676967535384</c:v>
                </c:pt>
                <c:pt idx="49">
                  <c:v>96.1055960042805</c:v>
                </c:pt>
                <c:pt idx="50">
                  <c:v>96.2466289956042</c:v>
                </c:pt>
                <c:pt idx="51">
                  <c:v>96.3908632118417</c:v>
                </c:pt>
                <c:pt idx="52">
                  <c:v>96.5383673263881</c:v>
                </c:pt>
                <c:pt idx="53">
                  <c:v>96.6892112033549</c:v>
                </c:pt>
                <c:pt idx="54">
                  <c:v>96.843465897557</c:v>
                </c:pt>
                <c:pt idx="55">
                  <c:v>97.001203652691</c:v>
                </c:pt>
                <c:pt idx="56">
                  <c:v>97.1624978975539</c:v>
                </c:pt>
                <c:pt idx="57">
                  <c:v>97.3274232401424</c:v>
                </c:pt>
                <c:pt idx="58">
                  <c:v>97.4960554594638</c:v>
                </c:pt>
                <c:pt idx="59">
                  <c:v>97.6684714948778</c:v>
                </c:pt>
                <c:pt idx="60">
                  <c:v>97.8447494327828</c:v>
                </c:pt>
                <c:pt idx="61">
                  <c:v>98.024968490446</c:v>
                </c:pt>
                <c:pt idx="62">
                  <c:v>98.2092089967668</c:v>
                </c:pt>
                <c:pt idx="63">
                  <c:v>98.3975523697544</c:v>
                </c:pt>
                <c:pt idx="64">
                  <c:v>98.5900810904868</c:v>
                </c:pt>
                <c:pt idx="65">
                  <c:v>98.7868786733076</c:v>
                </c:pt>
                <c:pt idx="66">
                  <c:v>98.9880296320086</c:v>
                </c:pt>
                <c:pt idx="67">
                  <c:v>99.1936194417284</c:v>
                </c:pt>
                <c:pt idx="68">
                  <c:v>99.403734496293</c:v>
                </c:pt>
                <c:pt idx="69">
                  <c:v>99.6184620607079</c:v>
                </c:pt>
                <c:pt idx="70">
                  <c:v>99.8378902185008</c:v>
                </c:pt>
                <c:pt idx="71">
                  <c:v>100.062107813606</c:v>
                </c:pt>
                <c:pt idx="72">
                  <c:v>100.291204386463</c:v>
                </c:pt>
                <c:pt idx="73">
                  <c:v>100.525270104009</c:v>
                </c:pt>
                <c:pt idx="74">
                  <c:v>100.764395683203</c:v>
                </c:pt>
                <c:pt idx="75">
                  <c:v>101.008672307756</c:v>
                </c:pt>
                <c:pt idx="76">
                  <c:v>101.258191537684</c:v>
                </c:pt>
                <c:pt idx="77">
                  <c:v>101.513045211341</c:v>
                </c:pt>
                <c:pt idx="78">
                  <c:v>101.773325339544</c:v>
                </c:pt>
                <c:pt idx="79">
                  <c:v>102.03912399142</c:v>
                </c:pt>
                <c:pt idx="80">
                  <c:v>102.310533171609</c:v>
                </c:pt>
                <c:pt idx="81">
                  <c:v>102.587644688436</c:v>
                </c:pt>
                <c:pt idx="82">
                  <c:v>102.870550012676</c:v>
                </c:pt>
                <c:pt idx="83">
                  <c:v>103.159340126559</c:v>
                </c:pt>
                <c:pt idx="84">
                  <c:v>103.454105362643</c:v>
                </c:pt>
                <c:pt idx="85">
                  <c:v>103.75493523221</c:v>
                </c:pt>
                <c:pt idx="86">
                  <c:v>104.061918242862</c:v>
                </c:pt>
                <c:pt idx="87">
                  <c:v>104.375141704992</c:v>
                </c:pt>
                <c:pt idx="88">
                  <c:v>104.694691526855</c:v>
                </c:pt>
                <c:pt idx="89">
                  <c:v>105.020651997983</c:v>
                </c:pt>
                <c:pt idx="90">
                  <c:v>105.353105560712</c:v>
                </c:pt>
                <c:pt idx="91">
                  <c:v>105.692132569653</c:v>
                </c:pt>
                <c:pt idx="92">
                  <c:v>106.03781103897</c:v>
                </c:pt>
                <c:pt idx="93">
                  <c:v>106.390216377385</c:v>
                </c:pt>
                <c:pt idx="94">
                  <c:v>106.749421110903</c:v>
                </c:pt>
                <c:pt idx="95">
                  <c:v>107.115494593301</c:v>
                </c:pt>
                <c:pt idx="96">
                  <c:v>107.488502704519</c:v>
                </c:pt>
                <c:pt idx="97">
                  <c:v>107.868507537165</c:v>
                </c:pt>
                <c:pt idx="98">
                  <c:v>108.255567071446</c:v>
                </c:pt>
                <c:pt idx="99">
                  <c:v>108.64973483894</c:v>
                </c:pt>
                <c:pt idx="100">
                  <c:v>109.051059575728</c:v>
                </c:pt>
                <c:pt idx="101">
                  <c:v>109.459584865535</c:v>
                </c:pt>
                <c:pt idx="102">
                  <c:v>109.875348773645</c:v>
                </c:pt>
                <c:pt idx="103">
                  <c:v>110.298383472508</c:v>
                </c:pt>
                <c:pt idx="104">
                  <c:v>110.728714860078</c:v>
                </c:pt>
                <c:pt idx="105">
                  <c:v>111.166362172092</c:v>
                </c:pt>
                <c:pt idx="106">
                  <c:v>111.611337589651</c:v>
                </c:pt>
                <c:pt idx="107">
                  <c:v>112.063645843612</c:v>
                </c:pt>
                <c:pt idx="108">
                  <c:v>112.523283817497</c:v>
                </c:pt>
                <c:pt idx="109">
                  <c:v>112.990240150743</c:v>
                </c:pt>
                <c:pt idx="110">
                  <c:v>113.46449484435</c:v>
                </c:pt>
                <c:pt idx="111">
                  <c:v>113.946018871088</c:v>
                </c:pt>
                <c:pt idx="112">
                  <c:v>114.434773792618</c:v>
                </c:pt>
                <c:pt idx="113">
                  <c:v>114.930711386051</c:v>
                </c:pt>
                <c:pt idx="114">
                  <c:v>115.433773282576</c:v>
                </c:pt>
                <c:pt idx="115">
                  <c:v>115.94389062096</c:v>
                </c:pt>
                <c:pt idx="116">
                  <c:v>116.460983718821</c:v>
                </c:pt>
                <c:pt idx="117">
                  <c:v>116.984961764698</c:v>
                </c:pt>
                <c:pt idx="118">
                  <c:v>117.515722533984</c:v>
                </c:pt>
                <c:pt idx="119">
                  <c:v>118.053152131898</c:v>
                </c:pt>
                <c:pt idx="120">
                  <c:v>118.597124766641</c:v>
                </c:pt>
                <c:pt idx="121">
                  <c:v>119.147502555921</c:v>
                </c:pt>
                <c:pt idx="122">
                  <c:v>119.70413536997</c:v>
                </c:pt>
                <c:pt idx="123">
                  <c:v>120.266860714103</c:v>
                </c:pt>
                <c:pt idx="124">
                  <c:v>120.835503653761</c:v>
                </c:pt>
                <c:pt idx="125">
                  <c:v>121.409876784815</c:v>
                </c:pt>
                <c:pt idx="126">
                  <c:v>121.989780251712</c:v>
                </c:pt>
                <c:pt idx="127">
                  <c:v>122.575001815797</c:v>
                </c:pt>
                <c:pt idx="128">
                  <c:v>123.165316975866</c:v>
                </c:pt>
                <c:pt idx="129">
                  <c:v>123.760489142672</c:v>
                </c:pt>
                <c:pt idx="130">
                  <c:v>124.360269868732</c:v>
                </c:pt>
                <c:pt idx="131">
                  <c:v>124.964399134383</c:v>
                </c:pt>
                <c:pt idx="132">
                  <c:v>125.572605690589</c:v>
                </c:pt>
                <c:pt idx="133">
                  <c:v>126.184607458526</c:v>
                </c:pt>
                <c:pt idx="134">
                  <c:v>126.80011198548</c:v>
                </c:pt>
                <c:pt idx="135">
                  <c:v>127.418816956069</c:v>
                </c:pt>
                <c:pt idx="136">
                  <c:v>128.040410757275</c:v>
                </c:pt>
                <c:pt idx="137">
                  <c:v>128.664573095241</c:v>
                </c:pt>
                <c:pt idx="138">
                  <c:v>129.290975661253</c:v>
                </c:pt>
                <c:pt idx="139">
                  <c:v>129.919282843805</c:v>
                </c:pt>
                <c:pt idx="140">
                  <c:v>130.549152483159</c:v>
                </c:pt>
                <c:pt idx="141">
                  <c:v>131.180236664324</c:v>
                </c:pt>
                <c:pt idx="142">
                  <c:v>131.812182543964</c:v>
                </c:pt>
                <c:pt idx="143">
                  <c:v>132.444633206323</c:v>
                </c:pt>
                <c:pt idx="144">
                  <c:v>133.077228542967</c:v>
                </c:pt>
                <c:pt idx="145">
                  <c:v>133.709606150803</c:v>
                </c:pt>
                <c:pt idx="146">
                  <c:v>134.341402242654</c:v>
                </c:pt>
                <c:pt idx="147">
                  <c:v>134.972252564521</c:v>
                </c:pt>
                <c:pt idx="148">
                  <c:v>135.601793313544</c:v>
                </c:pt>
                <c:pt idx="149">
                  <c:v>136.229662050712</c:v>
                </c:pt>
                <c:pt idx="150">
                  <c:v>136.85549860239</c:v>
                </c:pt>
                <c:pt idx="151">
                  <c:v>137.478945944893</c:v>
                </c:pt>
                <c:pt idx="152">
                  <c:v>138.099651066517</c:v>
                </c:pt>
                <c:pt idx="153">
                  <c:v>138.717265801719</c:v>
                </c:pt>
                <c:pt idx="154">
                  <c:v>139.331447632435</c:v>
                </c:pt>
                <c:pt idx="155">
                  <c:v>139.941860451929</c:v>
                </c:pt>
                <c:pt idx="156">
                  <c:v>140.548175286969</c:v>
                </c:pt>
                <c:pt idx="157">
                  <c:v>141.150070974596</c:v>
                </c:pt>
                <c:pt idx="158">
                  <c:v>141.747234790236</c:v>
                </c:pt>
                <c:pt idx="159">
                  <c:v>142.339363024429</c:v>
                </c:pt>
                <c:pt idx="160">
                  <c:v>142.926161505968</c:v>
                </c:pt>
                <c:pt idx="161">
                  <c:v>143.507346069778</c:v>
                </c:pt>
                <c:pt idx="162">
                  <c:v>144.082642968403</c:v>
                </c:pt>
                <c:pt idx="163">
                  <c:v>144.651789226472</c:v>
                </c:pt>
                <c:pt idx="164">
                  <c:v>145.214532938044</c:v>
                </c:pt>
                <c:pt idx="165">
                  <c:v>145.770633507186</c:v>
                </c:pt>
                <c:pt idx="166">
                  <c:v>146.319861832619</c:v>
                </c:pt>
                <c:pt idx="167">
                  <c:v>146.862000437649</c:v>
                </c:pt>
                <c:pt idx="168">
                  <c:v>147.396843547029</c:v>
                </c:pt>
                <c:pt idx="169">
                  <c:v>147.924197112687</c:v>
                </c:pt>
                <c:pt idx="170">
                  <c:v>148.443878790591</c:v>
                </c:pt>
                <c:pt idx="171">
                  <c:v>148.955717871271</c:v>
                </c:pt>
                <c:pt idx="172">
                  <c:v>149.459555166708</c:v>
                </c:pt>
                <c:pt idx="173">
                  <c:v>149.955242856515</c:v>
                </c:pt>
                <c:pt idx="174">
                  <c:v>150.442644296399</c:v>
                </c:pt>
                <c:pt idx="175">
                  <c:v>150.921633792053</c:v>
                </c:pt>
                <c:pt idx="176">
                  <c:v>151.392096341615</c:v>
                </c:pt>
                <c:pt idx="177">
                  <c:v>151.853927349881</c:v>
                </c:pt>
                <c:pt idx="178">
                  <c:v>152.307032317435</c:v>
                </c:pt>
                <c:pt idx="179">
                  <c:v>152.751326507801</c:v>
                </c:pt>
                <c:pt idx="180">
                  <c:v>153.186734595669</c:v>
                </c:pt>
                <c:pt idx="181">
                  <c:v>153.613190299124</c:v>
                </c:pt>
                <c:pt idx="182">
                  <c:v>154.030635998725</c:v>
                </c:pt>
                <c:pt idx="183">
                  <c:v>154.439022346128</c:v>
                </c:pt>
                <c:pt idx="184">
                  <c:v>154.838307864807</c:v>
                </c:pt>
                <c:pt idx="185">
                  <c:v>155.228458545287</c:v>
                </c:pt>
                <c:pt idx="186">
                  <c:v>155.60944743712</c:v>
                </c:pt>
                <c:pt idx="187">
                  <c:v>155.981254239697</c:v>
                </c:pt>
                <c:pt idx="188">
                  <c:v>156.343864893798</c:v>
                </c:pt>
                <c:pt idx="189">
                  <c:v>156.697271175638</c:v>
                </c:pt>
                <c:pt idx="190">
                  <c:v>157.041470294972</c:v>
                </c:pt>
                <c:pt idx="191">
                  <c:v>157.376464498701</c:v>
                </c:pt>
                <c:pt idx="192">
                  <c:v>157.702260681215</c:v>
                </c:pt>
                <c:pt idx="193">
                  <c:v>158.018870002609</c:v>
                </c:pt>
                <c:pt idx="194">
                  <c:v>158.326307515721</c:v>
                </c:pt>
                <c:pt idx="195">
                  <c:v>158.624591802829</c:v>
                </c:pt>
                <c:pt idx="196">
                  <c:v>158.913744622705</c:v>
                </c:pt>
                <c:pt idx="197">
                  <c:v>159.193790568614</c:v>
                </c:pt>
                <c:pt idx="198">
                  <c:v>159.464756737711</c:v>
                </c:pt>
                <c:pt idx="199">
                  <c:v>159.72667241222</c:v>
                </c:pt>
                <c:pt idx="200">
                  <c:v>159.97956875266</c:v>
                </c:pt>
                <c:pt idx="201">
                  <c:v>160.223478503296</c:v>
                </c:pt>
                <c:pt idx="202">
                  <c:v>160.45843570994</c:v>
                </c:pt>
                <c:pt idx="203">
                  <c:v>160.684475450128</c:v>
                </c:pt>
                <c:pt idx="204">
                  <c:v>160.901633575664</c:v>
                </c:pt>
                <c:pt idx="205">
                  <c:v>161.109946467449</c:v>
                </c:pt>
                <c:pt idx="206">
                  <c:v>161.309450802477</c:v>
                </c:pt>
                <c:pt idx="207">
                  <c:v>161.500183332841</c:v>
                </c:pt>
                <c:pt idx="208">
                  <c:v>161.68218067655</c:v>
                </c:pt>
                <c:pt idx="209">
                  <c:v>161.855479119944</c:v>
                </c:pt>
                <c:pt idx="210">
                  <c:v>162.020114431453</c:v>
                </c:pt>
                <c:pt idx="211">
                  <c:v>162.17612168645</c:v>
                </c:pt>
                <c:pt idx="212">
                  <c:v>162.323535102925</c:v>
                </c:pt>
                <c:pt idx="213">
                  <c:v>162.462387887689</c:v>
                </c:pt>
                <c:pt idx="214">
                  <c:v>162.59271209284</c:v>
                </c:pt>
                <c:pt idx="215">
                  <c:v>162.714538482191</c:v>
                </c:pt>
                <c:pt idx="216">
                  <c:v>162.827896407383</c:v>
                </c:pt>
                <c:pt idx="217">
                  <c:v>162.932813693411</c:v>
                </c:pt>
                <c:pt idx="218">
                  <c:v>163.029316533277</c:v>
                </c:pt>
                <c:pt idx="219">
                  <c:v>163.117429391535</c:v>
                </c:pt>
                <c:pt idx="220">
                  <c:v>163.197174916449</c:v>
                </c:pt>
                <c:pt idx="221">
                  <c:v>163.268573860562</c:v>
                </c:pt>
                <c:pt idx="222">
                  <c:v>163.331645009429</c:v>
                </c:pt>
                <c:pt idx="223">
                  <c:v>163.386405118343</c:v>
                </c:pt>
                <c:pt idx="224">
                  <c:v>163.432868856833</c:v>
                </c:pt>
                <c:pt idx="225">
                  <c:v>163.471048760809</c:v>
                </c:pt>
                <c:pt idx="226">
                  <c:v>163.500955192178</c:v>
                </c:pt>
                <c:pt idx="227">
                  <c:v>163.522596305828</c:v>
                </c:pt>
                <c:pt idx="228">
                  <c:v>163.535978023862</c:v>
                </c:pt>
                <c:pt idx="229">
                  <c:v>163.541104017011</c:v>
                </c:pt>
                <c:pt idx="230">
                  <c:v>163.537975693169</c:v>
                </c:pt>
                <c:pt idx="231">
                  <c:v>163.526592193001</c:v>
                </c:pt>
                <c:pt idx="232">
                  <c:v>163.50695039262</c:v>
                </c:pt>
                <c:pt idx="233">
                  <c:v>163.479044913344</c:v>
                </c:pt>
                <c:pt idx="234">
                  <c:v>163.442868138554</c:v>
                </c:pt>
                <c:pt idx="235">
                  <c:v>163.398410237709</c:v>
                </c:pt>
                <c:pt idx="236">
                  <c:v>163.345659197609</c:v>
                </c:pt>
                <c:pt idx="237">
                  <c:v>163.284600860976</c:v>
                </c:pt>
                <c:pt idx="238">
                  <c:v>163.215218972499</c:v>
                </c:pt>
                <c:pt idx="239">
                  <c:v>163.137495232457</c:v>
                </c:pt>
                <c:pt idx="240">
                  <c:v>163.051409358109</c:v>
                </c:pt>
                <c:pt idx="241">
                  <c:v>162.956939153002</c:v>
                </c:pt>
                <c:pt idx="242">
                  <c:v>162.85406058441</c:v>
                </c:pt>
                <c:pt idx="243">
                  <c:v>162.742747869114</c:v>
                </c:pt>
                <c:pt idx="244">
                  <c:v>162.62297356776</c:v>
                </c:pt>
                <c:pt idx="245">
                  <c:v>162.494708688019</c:v>
                </c:pt>
                <c:pt idx="246">
                  <c:v>162.357922796837</c:v>
                </c:pt>
                <c:pt idx="247">
                  <c:v>162.212584142016</c:v>
                </c:pt>
                <c:pt idx="248">
                  <c:v>162.058659783415</c:v>
                </c:pt>
                <c:pt idx="249">
                  <c:v>161.896115734046</c:v>
                </c:pt>
                <c:pt idx="250">
                  <c:v>161.724917111366</c:v>
                </c:pt>
                <c:pt idx="251">
                  <c:v>161.545028299021</c:v>
                </c:pt>
                <c:pt idx="252">
                  <c:v>161.356413119354</c:v>
                </c:pt>
                <c:pt idx="253">
                  <c:v>161.159035016935</c:v>
                </c:pt>
                <c:pt idx="254">
                  <c:v>160.95285725338</c:v>
                </c:pt>
                <c:pt idx="255">
                  <c:v>160.737843113701</c:v>
                </c:pt>
                <c:pt idx="256">
                  <c:v>160.513956124429</c:v>
                </c:pt>
                <c:pt idx="257">
                  <c:v>160.281160283689</c:v>
                </c:pt>
                <c:pt idx="258">
                  <c:v>160.039420303419</c:v>
                </c:pt>
                <c:pt idx="259">
                  <c:v>159.788701863842</c:v>
                </c:pt>
                <c:pt idx="260">
                  <c:v>159.528971880292</c:v>
                </c:pt>
                <c:pt idx="261">
                  <c:v>159.260198782419</c:v>
                </c:pt>
                <c:pt idx="262">
                  <c:v>158.982352805758</c:v>
                </c:pt>
                <c:pt idx="263">
                  <c:v>158.695406295555</c:v>
                </c:pt>
                <c:pt idx="264">
                  <c:v>158.3993340227</c:v>
                </c:pt>
                <c:pt idx="265">
                  <c:v>158.094113511502</c:v>
                </c:pt>
                <c:pt idx="266">
                  <c:v>157.779725378975</c:v>
                </c:pt>
                <c:pt idx="267">
                  <c:v>157.456153685181</c:v>
                </c:pt>
                <c:pt idx="268">
                  <c:v>157.123386294089</c:v>
                </c:pt>
                <c:pt idx="269">
                  <c:v>156.781415244268</c:v>
                </c:pt>
                <c:pt idx="270">
                  <c:v>156.430237128621</c:v>
                </c:pt>
                <c:pt idx="271">
                  <c:v>156.069853482233</c:v>
                </c:pt>
                <c:pt idx="272">
                  <c:v>155.700271177243</c:v>
                </c:pt>
                <c:pt idx="273">
                  <c:v>155.321502823532</c:v>
                </c:pt>
                <c:pt idx="274">
                  <c:v>154.933567173835</c:v>
                </c:pt>
                <c:pt idx="275">
                  <c:v>154.53648953174</c:v>
                </c:pt>
                <c:pt idx="276">
                  <c:v>154.130302160865</c:v>
                </c:pt>
                <c:pt idx="277">
                  <c:v>153.715044693353</c:v>
                </c:pt>
                <c:pt idx="278">
                  <c:v>153.290764535618</c:v>
                </c:pt>
                <c:pt idx="279">
                  <c:v>152.857517269176</c:v>
                </c:pt>
                <c:pt idx="280">
                  <c:v>152.415367044158</c:v>
                </c:pt>
                <c:pt idx="281">
                  <c:v>151.964386963006</c:v>
                </c:pt>
                <c:pt idx="282">
                  <c:v>151.50465945168</c:v>
                </c:pt>
                <c:pt idx="283">
                  <c:v>151.03627661557</c:v>
                </c:pt>
                <c:pt idx="284">
                  <c:v>150.5593405772</c:v>
                </c:pt>
                <c:pt idx="285">
                  <c:v>150.073963792701</c:v>
                </c:pt>
                <c:pt idx="286">
                  <c:v>149.580269343957</c:v>
                </c:pt>
                <c:pt idx="287">
                  <c:v>149.078391203266</c:v>
                </c:pt>
                <c:pt idx="288">
                  <c:v>148.568474467363</c:v>
                </c:pt>
                <c:pt idx="289">
                  <c:v>148.050675557591</c:v>
                </c:pt>
                <c:pt idx="290">
                  <c:v>147.525162383147</c:v>
                </c:pt>
                <c:pt idx="291">
                  <c:v>146.992114464307</c:v>
                </c:pt>
                <c:pt idx="292">
                  <c:v>146.451723012725</c:v>
                </c:pt>
                <c:pt idx="293">
                  <c:v>145.904190966022</c:v>
                </c:pt>
                <c:pt idx="294">
                  <c:v>145.349732974096</c:v>
                </c:pt>
                <c:pt idx="295">
                  <c:v>144.788575334836</c:v>
                </c:pt>
                <c:pt idx="296">
                  <c:v>144.22095587719</c:v>
                </c:pt>
                <c:pt idx="297">
                  <c:v>143.647123789889</c:v>
                </c:pt>
                <c:pt idx="298">
                  <c:v>143.067339394501</c:v>
                </c:pt>
                <c:pt idx="299">
                  <c:v>142.481873861872</c:v>
                </c:pt>
                <c:pt idx="300">
                  <c:v>141.891008871493</c:v>
                </c:pt>
                <c:pt idx="301">
                  <c:v>141.295036213775</c:v>
                </c:pt>
                <c:pt idx="302">
                  <c:v>140.694257335737</c:v>
                </c:pt>
                <c:pt idx="303">
                  <c:v>140.088982831101</c:v>
                </c:pt>
                <c:pt idx="304">
                  <c:v>139.479531876355</c:v>
                </c:pt>
                <c:pt idx="305">
                  <c:v>138.866231614844</c:v>
                </c:pt>
                <c:pt idx="306">
                  <c:v>138.249416491498</c:v>
                </c:pt>
                <c:pt idx="307">
                  <c:v>137.629427541321</c:v>
                </c:pt>
                <c:pt idx="308">
                  <c:v>137.00661163526</c:v>
                </c:pt>
                <c:pt idx="309">
                  <c:v>136.381320687544</c:v>
                </c:pt>
                <c:pt idx="310">
                  <c:v>135.753910829014</c:v>
                </c:pt>
                <c:pt idx="311">
                  <c:v>135.124741551356</c:v>
                </c:pt>
                <c:pt idx="312">
                  <c:v>134.494174827475</c:v>
                </c:pt>
                <c:pt idx="313">
                  <c:v>133.862574213556</c:v>
                </c:pt>
                <c:pt idx="314">
                  <c:v>133.230303938513</c:v>
                </c:pt>
                <c:pt idx="315">
                  <c:v>132.597727986756</c:v>
                </c:pt>
                <c:pt idx="316">
                  <c:v>131.965209180212</c:v>
                </c:pt>
                <c:pt idx="317">
                  <c:v>131.333108265588</c:v>
                </c:pt>
                <c:pt idx="318">
                  <c:v>130.701783012774</c:v>
                </c:pt>
                <c:pt idx="319">
                  <c:v>130.071587330174</c:v>
                </c:pt>
                <c:pt idx="320">
                  <c:v>129.442870402518</c:v>
                </c:pt>
                <c:pt idx="321">
                  <c:v>128.815975856469</c:v>
                </c:pt>
                <c:pt idx="322">
                  <c:v>128.191240959011</c:v>
                </c:pt>
                <c:pt idx="323">
                  <c:v>127.568995853193</c:v>
                </c:pt>
                <c:pt idx="324">
                  <c:v>126.949562835438</c:v>
                </c:pt>
                <c:pt idx="325">
                  <c:v>126.333255678097</c:v>
                </c:pt>
                <c:pt idx="326">
                  <c:v>125.720379000503</c:v>
                </c:pt>
                <c:pt idx="327">
                  <c:v>125.111227691195</c:v>
                </c:pt>
                <c:pt idx="328">
                  <c:v>124.506086383517</c:v>
                </c:pt>
                <c:pt idx="329">
                  <c:v>123.90522898622</c:v>
                </c:pt>
                <c:pt idx="330">
                  <c:v>123.308918270189</c:v>
                </c:pt>
                <c:pt idx="331">
                  <c:v>122.717405511876</c:v>
                </c:pt>
                <c:pt idx="332">
                  <c:v>122.130930193539</c:v>
                </c:pt>
                <c:pt idx="333">
                  <c:v>121.549719759893</c:v>
                </c:pt>
                <c:pt idx="334">
                  <c:v>120.973989430333</c:v>
                </c:pt>
                <c:pt idx="335">
                  <c:v>120.403942065461</c:v>
                </c:pt>
                <c:pt idx="336">
                  <c:v>119.839768086309</c:v>
                </c:pt>
                <c:pt idx="337">
                  <c:v>119.281645444244</c:v>
                </c:pt>
                <c:pt idx="338">
                  <c:v>118.729739639323</c:v>
                </c:pt>
                <c:pt idx="339">
                  <c:v>118.184203784538</c:v>
                </c:pt>
                <c:pt idx="340">
                  <c:v>117.645178713247</c:v>
                </c:pt>
                <c:pt idx="341">
                  <c:v>117.112793126853</c:v>
                </c:pt>
                <c:pt idx="342">
                  <c:v>116.587163779743</c:v>
                </c:pt>
                <c:pt idx="343">
                  <c:v>116.068395698339</c:v>
                </c:pt>
                <c:pt idx="344">
                  <c:v>115.556582431115</c:v>
                </c:pt>
                <c:pt idx="345">
                  <c:v>115.051806326411</c:v>
                </c:pt>
                <c:pt idx="346">
                  <c:v>114.554138834873</c:v>
                </c:pt>
                <c:pt idx="347">
                  <c:v>114.063640833425</c:v>
                </c:pt>
                <c:pt idx="348">
                  <c:v>113.580362967743</c:v>
                </c:pt>
                <c:pt idx="349">
                  <c:v>113.104346010282</c:v>
                </c:pt>
                <c:pt idx="350">
                  <c:v>112.635621231054</c:v>
                </c:pt>
                <c:pt idx="351">
                  <c:v>112.174210778448</c:v>
                </c:pt>
                <c:pt idx="352">
                  <c:v>111.720128067579</c:v>
                </c:pt>
                <c:pt idx="353">
                  <c:v>111.273378173742</c:v>
                </c:pt>
                <c:pt idx="354">
                  <c:v>110.833958228772</c:v>
                </c:pt>
                <c:pt idx="355">
                  <c:v>110.401857818228</c:v>
                </c:pt>
                <c:pt idx="356">
                  <c:v>109.977059377526</c:v>
                </c:pt>
                <c:pt idx="357">
                  <c:v>109.559538585268</c:v>
                </c:pt>
                <c:pt idx="358">
                  <c:v>109.149264752239</c:v>
                </c:pt>
                <c:pt idx="359">
                  <c:v>108.746201204643</c:v>
                </c:pt>
                <c:pt idx="360">
                  <c:v>108.350305660364</c:v>
                </c:pt>
                <c:pt idx="361">
                  <c:v>107.961530597145</c:v>
                </c:pt>
                <c:pt idx="362">
                  <c:v>107.579823611761</c:v>
                </c:pt>
                <c:pt idx="363">
                  <c:v>107.205127769364</c:v>
                </c:pt>
                <c:pt idx="364">
                  <c:v>106.837381942341</c:v>
                </c:pt>
                <c:pt idx="365">
                  <c:v>106.476521138125</c:v>
                </c:pt>
                <c:pt idx="366">
                  <c:v>106.122476815522</c:v>
                </c:pt>
                <c:pt idx="367">
                  <c:v>105.775177189221</c:v>
                </c:pt>
                <c:pt idx="368">
                  <c:v>105.434547522247</c:v>
                </c:pt>
                <c:pt idx="369">
                  <c:v>105.100510406208</c:v>
                </c:pt>
                <c:pt idx="370">
                  <c:v>104.77298602926</c:v>
                </c:pt>
                <c:pt idx="371">
                  <c:v>104.451892431793</c:v>
                </c:pt>
                <c:pt idx="372">
                  <c:v>104.137145749905</c:v>
                </c:pt>
                <c:pt idx="373">
                  <c:v>103.828660446774</c:v>
                </c:pt>
                <c:pt idx="374">
                  <c:v>103.526349532102</c:v>
                </c:pt>
                <c:pt idx="375">
                  <c:v>103.230124769848</c:v>
                </c:pt>
                <c:pt idx="376">
                  <c:v>102.93989687448</c:v>
                </c:pt>
                <c:pt idx="377">
                  <c:v>102.655575696054</c:v>
                </c:pt>
                <c:pt idx="378">
                  <c:v>102.377070394396</c:v>
                </c:pt>
                <c:pt idx="379">
                  <c:v>102.104289602734</c:v>
                </c:pt>
                <c:pt idx="380">
                  <c:v>101.837141581117</c:v>
                </c:pt>
                <c:pt idx="381">
                  <c:v>101.575534359972</c:v>
                </c:pt>
                <c:pt idx="382">
                  <c:v>101.319375874178</c:v>
                </c:pt>
                <c:pt idx="383">
                  <c:v>101.068574088015</c:v>
                </c:pt>
                <c:pt idx="384">
                  <c:v>100.823037111373</c:v>
                </c:pt>
                <c:pt idx="385">
                  <c:v>100.582673307594</c:v>
                </c:pt>
                <c:pt idx="386">
                  <c:v>100.347391393324</c:v>
                </c:pt>
                <c:pt idx="387">
                  <c:v>100.11710053074</c:v>
                </c:pt>
                <c:pt idx="388">
                  <c:v>99.8917104125288</c:v>
                </c:pt>
                <c:pt idx="389">
                  <c:v>99.6711313399704</c:v>
                </c:pt>
                <c:pt idx="390">
                  <c:v>99.4552742944823</c:v>
                </c:pt>
                <c:pt idx="391">
                  <c:v>99.2440510029663</c:v>
                </c:pt>
                <c:pt idx="392">
                  <c:v>99.0373739972947</c:v>
                </c:pt>
                <c:pt idx="393">
                  <c:v>98.8351566682596</c:v>
                </c:pt>
                <c:pt idx="394">
                  <c:v>98.6373133142988</c:v>
                </c:pt>
                <c:pt idx="395">
                  <c:v>98.4437591853023</c:v>
                </c:pt>
                <c:pt idx="396">
                  <c:v>98.2544105217902</c:v>
                </c:pt>
                <c:pt idx="397">
                  <c:v>98.0691845897422</c:v>
                </c:pt>
                <c:pt idx="398">
                  <c:v>97.887999711349</c:v>
                </c:pt>
                <c:pt idx="399">
                  <c:v>97.7107752919402</c:v>
                </c:pt>
                <c:pt idx="400">
                  <c:v>97.5374318433375</c:v>
                </c:pt>
                <c:pt idx="401">
                  <c:v>97.3678910038649</c:v>
                </c:pt>
                <c:pt idx="402">
                  <c:v>97.2020755552416</c:v>
                </c:pt>
                <c:pt idx="403">
                  <c:v>97.0399094365688</c:v>
                </c:pt>
                <c:pt idx="404">
                  <c:v>96.8813177556118</c:v>
                </c:pt>
                <c:pt idx="405">
                  <c:v>96.7262267975702</c:v>
                </c:pt>
                <c:pt idx="406">
                  <c:v>96.5745640315169</c:v>
                </c:pt>
                <c:pt idx="407">
                  <c:v>96.426258114677</c:v>
                </c:pt>
                <c:pt idx="408">
                  <c:v>96.2812388947097</c:v>
                </c:pt>
                <c:pt idx="409">
                  <c:v>96.1394374101451</c:v>
                </c:pt>
                <c:pt idx="410">
                  <c:v>96.0007858891225</c:v>
                </c:pt>
                <c:pt idx="411">
                  <c:v>95.8652177465635</c:v>
                </c:pt>
                <c:pt idx="412">
                  <c:v>95.7326675799099</c:v>
                </c:pt>
                <c:pt idx="413">
                  <c:v>95.6030711635464</c:v>
                </c:pt>
                <c:pt idx="414">
                  <c:v>95.4763654420205</c:v>
                </c:pt>
                <c:pt idx="415">
                  <c:v>95.3524885221665</c:v>
                </c:pt>
                <c:pt idx="416">
                  <c:v>95.2313796642326</c:v>
                </c:pt>
                <c:pt idx="417">
                  <c:v>95.1129792721043</c:v>
                </c:pt>
                <c:pt idx="418">
                  <c:v>94.9972288827116</c:v>
                </c:pt>
                <c:pt idx="419">
                  <c:v>94.8840711547012</c:v>
                </c:pt>
                <c:pt idx="420">
                  <c:v>94.7734498564498</c:v>
                </c:pt>
                <c:pt idx="421">
                  <c:v>94.6653098534894</c:v>
                </c:pt>
                <c:pt idx="422">
                  <c:v>94.5595970954116</c:v>
                </c:pt>
                <c:pt idx="423">
                  <c:v>94.4562586023113</c:v>
                </c:pt>
                <c:pt idx="424">
                  <c:v>94.3552424508283</c:v>
                </c:pt>
                <c:pt idx="425">
                  <c:v>94.2564977598393</c:v>
                </c:pt>
                <c:pt idx="426">
                  <c:v>94.1599746758505</c:v>
                </c:pt>
                <c:pt idx="427">
                  <c:v>94.0656243581359</c:v>
                </c:pt>
                <c:pt idx="428">
                  <c:v>93.9733989636653</c:v>
                </c:pt>
                <c:pt idx="429">
                  <c:v>93.8832516318587</c:v>
                </c:pt>
                <c:pt idx="430">
                  <c:v>93.7951364692072</c:v>
                </c:pt>
                <c:pt idx="431">
                  <c:v>93.7090085337905</c:v>
                </c:pt>
                <c:pt idx="432">
                  <c:v>93.6248238197242</c:v>
                </c:pt>
                <c:pt idx="433">
                  <c:v>93.5425392415642</c:v>
                </c:pt>
                <c:pt idx="434">
                  <c:v>93.4621126186956</c:v>
                </c:pt>
                <c:pt idx="435">
                  <c:v>93.3835026597289</c:v>
                </c:pt>
                <c:pt idx="436">
                  <c:v>93.3066689469263</c:v>
                </c:pt>
                <c:pt idx="437">
                  <c:v>93.2315719206781</c:v>
                </c:pt>
                <c:pt idx="438">
                  <c:v>93.1581728640477</c:v>
                </c:pt>
                <c:pt idx="439">
                  <c:v>93.086433887402</c:v>
                </c:pt>
                <c:pt idx="440">
                  <c:v>93.0163179131415</c:v>
                </c:pt>
                <c:pt idx="441">
                  <c:v>92.9477886605461</c:v>
                </c:pt>
                <c:pt idx="442">
                  <c:v>92.8808106307466</c:v>
                </c:pt>
                <c:pt idx="443">
                  <c:v>92.8153490918344</c:v>
                </c:pt>
                <c:pt idx="444">
                  <c:v>92.7513700641197</c:v>
                </c:pt>
                <c:pt idx="445">
                  <c:v>92.688840305547</c:v>
                </c:pt>
                <c:pt idx="446">
                  <c:v>92.6277272972746</c:v>
                </c:pt>
                <c:pt idx="447">
                  <c:v>92.5679992294282</c:v>
                </c:pt>
                <c:pt idx="448">
                  <c:v>92.5096249870311</c:v>
                </c:pt>
                <c:pt idx="449">
                  <c:v>92.4525741361198</c:v>
                </c:pt>
                <c:pt idx="450">
                  <c:v>92.3968169100477</c:v>
                </c:pt>
                <c:pt idx="451">
                  <c:v>92.3423241959813</c:v>
                </c:pt>
                <c:pt idx="452">
                  <c:v>92.2890675215928</c:v>
                </c:pt>
                <c:pt idx="453">
                  <c:v>92.2370190419518</c:v>
                </c:pt>
                <c:pt idx="454">
                  <c:v>92.1861515266178</c:v>
                </c:pt>
                <c:pt idx="455">
                  <c:v>92.1364383469359</c:v>
                </c:pt>
                <c:pt idx="456">
                  <c:v>92.0878534635368</c:v>
                </c:pt>
                <c:pt idx="457">
                  <c:v>92.0403714140424</c:v>
                </c:pt>
                <c:pt idx="458">
                  <c:v>91.9939673009767</c:v>
                </c:pt>
                <c:pt idx="459">
                  <c:v>91.948616779883</c:v>
                </c:pt>
                <c:pt idx="460">
                  <c:v>91.904296047647</c:v>
                </c:pt>
                <c:pt idx="461">
                  <c:v>91.860981831025</c:v>
                </c:pt>
                <c:pt idx="462">
                  <c:v>91.8186513753775</c:v>
                </c:pt>
                <c:pt idx="463">
                  <c:v>91.7772824336058</c:v>
                </c:pt>
                <c:pt idx="464">
                  <c:v>91.736853255292</c:v>
                </c:pt>
                <c:pt idx="465">
                  <c:v>91.6973425760393</c:v>
                </c:pt>
                <c:pt idx="466">
                  <c:v>91.6587296070135</c:v>
                </c:pt>
                <c:pt idx="467">
                  <c:v>91.6209940246807</c:v>
                </c:pt>
                <c:pt idx="468">
                  <c:v>91.5841159607427</c:v>
                </c:pt>
                <c:pt idx="469">
                  <c:v>91.5480759922659</c:v>
                </c:pt>
                <c:pt idx="470">
                  <c:v>91.5128551320019</c:v>
                </c:pt>
                <c:pt idx="471">
                  <c:v>91.4784348188989</c:v>
                </c:pt>
                <c:pt idx="472">
                  <c:v>91.4447969087998</c:v>
                </c:pt>
                <c:pt idx="473">
                  <c:v>91.4119236653258</c:v>
                </c:pt>
                <c:pt idx="474">
                  <c:v>91.3797977509427</c:v>
                </c:pt>
                <c:pt idx="475">
                  <c:v>91.3484022182073</c:v>
                </c:pt>
                <c:pt idx="476">
                  <c:v>91.3177205011915</c:v>
                </c:pt>
                <c:pt idx="477">
                  <c:v>91.2877364070817</c:v>
                </c:pt>
                <c:pt idx="478">
                  <c:v>91.2584341079497</c:v>
                </c:pt>
                <c:pt idx="479">
                  <c:v>91.2297981326945</c:v>
                </c:pt>
                <c:pt idx="480">
                  <c:v>91.2018133591501</c:v>
                </c:pt>
                <c:pt idx="481">
                  <c:v>91.174465006358</c:v>
                </c:pt>
                <c:pt idx="482">
                  <c:v>91.1477386270014</c:v>
                </c:pt>
                <c:pt idx="483">
                  <c:v>91.1216200999981</c:v>
                </c:pt>
                <c:pt idx="484">
                  <c:v>91.0960956232496</c:v>
                </c:pt>
                <c:pt idx="485">
                  <c:v>91.0711517065431</c:v>
                </c:pt>
                <c:pt idx="486">
                  <c:v>91.0467751646054</c:v>
                </c:pt>
                <c:pt idx="487">
                  <c:v>91.0229531103031</c:v>
                </c:pt>
                <c:pt idx="488">
                  <c:v>90.9996729479897</c:v>
                </c:pt>
                <c:pt idx="489">
                  <c:v>90.976922366994</c:v>
                </c:pt>
                <c:pt idx="490">
                  <c:v>90.9546893352497</c:v>
                </c:pt>
                <c:pt idx="491">
                  <c:v>90.9329620930609</c:v>
                </c:pt>
                <c:pt idx="492">
                  <c:v>90.9117291470035</c:v>
                </c:pt>
                <c:pt idx="493">
                  <c:v>90.890979263958</c:v>
                </c:pt>
                <c:pt idx="494">
                  <c:v>90.8707014652723</c:v>
                </c:pt>
                <c:pt idx="495">
                  <c:v>90.8508850210513</c:v>
                </c:pt>
                <c:pt idx="496">
                  <c:v>90.8315194445708</c:v>
                </c:pt>
                <c:pt idx="497">
                  <c:v>90.8125944868139</c:v>
                </c:pt>
                <c:pt idx="498">
                  <c:v>90.794100131127</c:v>
                </c:pt>
                <c:pt idx="499">
                  <c:v>90.7760265879921</c:v>
                </c:pt>
                <c:pt idx="500">
                  <c:v>90.7583642899154</c:v>
                </c:pt>
                <c:pt idx="501">
                  <c:v>90.7411038864273</c:v>
                </c:pt>
                <c:pt idx="502">
                  <c:v>90.7242362391928</c:v>
                </c:pt>
                <c:pt idx="503">
                  <c:v>90.7077524172301</c:v>
                </c:pt>
                <c:pt idx="504">
                  <c:v>90.6916436922348</c:v>
                </c:pt>
                <c:pt idx="505">
                  <c:v>90.6759015340075</c:v>
                </c:pt>
                <c:pt idx="506">
                  <c:v>90.6605176059825</c:v>
                </c:pt>
                <c:pt idx="507">
                  <c:v>90.6454837608564</c:v>
                </c:pt>
                <c:pt idx="508">
                  <c:v>90.6307920363132</c:v>
                </c:pt>
                <c:pt idx="509">
                  <c:v>90.6164346508446</c:v>
                </c:pt>
                <c:pt idx="510">
                  <c:v>90.6024039996637</c:v>
                </c:pt>
                <c:pt idx="511">
                  <c:v>90.5886926507092</c:v>
                </c:pt>
                <c:pt idx="512">
                  <c:v>90.5752933407395</c:v>
                </c:pt>
                <c:pt idx="513">
                  <c:v>90.5621989715129</c:v>
                </c:pt>
                <c:pt idx="514">
                  <c:v>90.5494026060545</c:v>
                </c:pt>
                <c:pt idx="515">
                  <c:v>90.5368974650058</c:v>
                </c:pt>
                <c:pt idx="516">
                  <c:v>90.5246769230557</c:v>
                </c:pt>
                <c:pt idx="517">
                  <c:v>90.5127345054526</c:v>
                </c:pt>
                <c:pt idx="518">
                  <c:v>90.5010638845936</c:v>
                </c:pt>
                <c:pt idx="519">
                  <c:v>90.4896588766906</c:v>
                </c:pt>
                <c:pt idx="520">
                  <c:v>90.4785134385117</c:v>
                </c:pt>
                <c:pt idx="521">
                  <c:v>90.4676216641947</c:v>
                </c:pt>
                <c:pt idx="522">
                  <c:v>90.4569777821337</c:v>
                </c:pt>
                <c:pt idx="523">
                  <c:v>90.4465761519343</c:v>
                </c:pt>
                <c:pt idx="524">
                  <c:v>90.4364112614382</c:v>
                </c:pt>
                <c:pt idx="525">
                  <c:v>90.4264777238145</c:v>
                </c:pt>
                <c:pt idx="526">
                  <c:v>90.4167702747166</c:v>
                </c:pt>
                <c:pt idx="527">
                  <c:v>90.4072837695031</c:v>
                </c:pt>
                <c:pt idx="528">
                  <c:v>90.3980131805211</c:v>
                </c:pt>
                <c:pt idx="529">
                  <c:v>90.3889535944518</c:v>
                </c:pt>
                <c:pt idx="530">
                  <c:v>90.3801002097145</c:v>
                </c:pt>
                <c:pt idx="531">
                  <c:v>90.3714483339301</c:v>
                </c:pt>
                <c:pt idx="532">
                  <c:v>90.3629933814422</c:v>
                </c:pt>
                <c:pt idx="533">
                  <c:v>90.3547308708932</c:v>
                </c:pt>
                <c:pt idx="534">
                  <c:v>90.3466564228563</c:v>
                </c:pt>
                <c:pt idx="535">
                  <c:v>90.3387657575197</c:v>
                </c:pt>
                <c:pt idx="536">
                  <c:v>90.3310546924246</c:v>
                </c:pt>
                <c:pt idx="537">
                  <c:v>90.3235191402535</c:v>
                </c:pt>
                <c:pt idx="538">
                  <c:v>90.3161551066685</c:v>
                </c:pt>
                <c:pt idx="539">
                  <c:v>90.3089586881989</c:v>
                </c:pt>
                <c:pt idx="540">
                  <c:v>90.3019260701768</c:v>
                </c:pt>
                <c:pt idx="541">
                  <c:v>90.2950535247185</c:v>
                </c:pt>
              </c:numCache>
            </c:numRef>
          </c:yVal>
          <c:smooth val="1"/>
        </c:ser>
        <c:dLbls>
          <c:showLegendKey val="0"/>
          <c:showVal val="0"/>
          <c:showCatName val="0"/>
          <c:showSerName val="0"/>
          <c:showPercent val="0"/>
          <c:showBubbleSize val="0"/>
        </c:dLbls>
        <c:axId val="175568384"/>
        <c:axId val="175566848"/>
      </c:scatterChart>
      <c:valAx>
        <c:axId val="175558656"/>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60576"/>
        <c:crosses val="autoZero"/>
        <c:crossBetween val="midCat"/>
      </c:valAx>
      <c:valAx>
        <c:axId val="175560576"/>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Gain</a:t>
                </a:r>
                <a:r>
                  <a:rPr lang="en-US" baseline="0"/>
                  <a:t> (dB)</a:t>
                </a:r>
                <a:endParaRPr lang="en-US"/>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58656"/>
        <c:crosses val="autoZero"/>
        <c:crossBetween val="midCat"/>
        <c:majorUnit val="20"/>
        <c:minorUnit val="10"/>
      </c:valAx>
      <c:valAx>
        <c:axId val="175568384"/>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66848"/>
        <c:crosses val="autoZero"/>
        <c:crossBetween val="midCat"/>
      </c:valAx>
      <c:valAx>
        <c:axId val="175566848"/>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68384"/>
        <c:crosses val="max"/>
        <c:crossBetween val="midCat"/>
        <c:majorUnit val="90"/>
        <c:minorUnit val="45"/>
      </c:valAx>
    </c:plotArea>
    <c:legend>
      <c:legendPos val="r"/>
      <c:layout>
        <c:manualLayout>
          <c:xMode val="edge"/>
          <c:yMode val="edge"/>
          <c:x val="0.798805582095125"/>
          <c:y val="0.14321997959862"/>
          <c:w val="0.134850481555914"/>
          <c:h val="0.105286249699137"/>
        </c:manualLayout>
      </c:layout>
      <c:overlay val="1"/>
      <c:spPr>
        <a:solidFill>
          <a:schemeClr val="bg1"/>
        </a:solidFill>
      </c:spPr>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51ba628-39a9-4006-b0f5-1dd1637f385b}"/>
      </c:ext>
    </c:extLst>
  </c:chart>
  <c:txPr>
    <a:bodyPr/>
    <a:lstStyle/>
    <a:p>
      <a:pPr>
        <a:defRPr lang="pl-PL"/>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baseline="0"/>
              <a:t>CCM Control Loop Transfer Function</a:t>
            </a:r>
            <a:endParaRPr lang="en-US" baseline="0"/>
          </a:p>
        </c:rich>
      </c:tx>
      <c:layout/>
      <c:overlay val="0"/>
    </c:title>
    <c:autoTitleDeleted val="0"/>
    <c:plotArea>
      <c:layout/>
      <c:scatterChart>
        <c:scatterStyle val="smooth"/>
        <c:varyColors val="0"/>
        <c:ser>
          <c:idx val="0"/>
          <c:order val="0"/>
          <c:tx>
            <c:strRef>
              <c:f>"Gain (dB)"</c:f>
              <c:strCache>
                <c:ptCount val="1"/>
                <c:pt idx="0">
                  <c:v>Gain (dB)</c:v>
                </c:pt>
              </c:strCache>
            </c:strRef>
          </c:tx>
          <c:spPr>
            <a:ln w="38100" cap="rnd" cmpd="sng" algn="ctr">
              <a:solidFill>
                <a:srgbClr val="FF0000"/>
              </a:solidFill>
              <a:prstDash val="solid"/>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Loop_Modeling!$BG$19:$BG$560</c:f>
              <c:numCache>
                <c:formatCode>0.000</c:formatCode>
                <c:ptCount val="542"/>
                <c:pt idx="0">
                  <c:v>57.5565005783383</c:v>
                </c:pt>
                <c:pt idx="1">
                  <c:v>57.3533098639314</c:v>
                </c:pt>
                <c:pt idx="2">
                  <c:v>57.1499716915306</c:v>
                </c:pt>
                <c:pt idx="3">
                  <c:v>56.9464793876224</c:v>
                </c:pt>
                <c:pt idx="4">
                  <c:v>56.7428259900299</c:v>
                </c:pt>
                <c:pt idx="5">
                  <c:v>56.5390042366909</c:v>
                </c:pt>
                <c:pt idx="6">
                  <c:v>56.3350065541203</c:v>
                </c:pt>
                <c:pt idx="7">
                  <c:v>56.1308250455625</c:v>
                </c:pt>
                <c:pt idx="8">
                  <c:v>55.9264514788351</c:v>
                </c:pt>
                <c:pt idx="9">
                  <c:v>55.7218772738761</c:v>
                </c:pt>
                <c:pt idx="10">
                  <c:v>55.517093489999</c:v>
                </c:pt>
                <c:pt idx="11">
                  <c:v>55.3120908128686</c:v>
                </c:pt>
                <c:pt idx="12">
                  <c:v>55.1068595412132</c:v>
                </c:pt>
                <c:pt idx="13">
                  <c:v>54.901389573285</c:v>
                </c:pt>
                <c:pt idx="14">
                  <c:v>54.6956703930925</c:v>
                </c:pt>
                <c:pt idx="15">
                  <c:v>54.4896910564236</c:v>
                </c:pt>
                <c:pt idx="16">
                  <c:v>54.2834401766877</c:v>
                </c:pt>
                <c:pt idx="17">
                  <c:v>54.0769059106039</c:v>
                </c:pt>
                <c:pt idx="18">
                  <c:v>53.8700759437711</c:v>
                </c:pt>
                <c:pt idx="19">
                  <c:v>53.6629374761552</c:v>
                </c:pt>
                <c:pt idx="20">
                  <c:v>53.4554772075381</c:v>
                </c:pt>
                <c:pt idx="21">
                  <c:v>53.2476813229741</c:v>
                </c:pt>
                <c:pt idx="22">
                  <c:v>53.0395354783067</c:v>
                </c:pt>
                <c:pt idx="23">
                  <c:v>52.8310247858045</c:v>
                </c:pt>
                <c:pt idx="24">
                  <c:v>52.6221337999799</c:v>
                </c:pt>
                <c:pt idx="25">
                  <c:v>52.4128465036607</c:v>
                </c:pt>
                <c:pt idx="26">
                  <c:v>52.2031462943932</c:v>
                </c:pt>
                <c:pt idx="27">
                  <c:v>51.9930159712586</c:v>
                </c:pt>
                <c:pt idx="28">
                  <c:v>51.7824377221964</c:v>
                </c:pt>
                <c:pt idx="29">
                  <c:v>51.5713931119326</c:v>
                </c:pt>
                <c:pt idx="30">
                  <c:v>51.3598630706197</c:v>
                </c:pt>
                <c:pt idx="31">
                  <c:v>51.1478278833039</c:v>
                </c:pt>
                <c:pt idx="32">
                  <c:v>50.9352671803427</c:v>
                </c:pt>
                <c:pt idx="33">
                  <c:v>50.7221599289046</c:v>
                </c:pt>
                <c:pt idx="34">
                  <c:v>50.5084844256916</c:v>
                </c:pt>
                <c:pt idx="35">
                  <c:v>50.2942182910336</c:v>
                </c:pt>
                <c:pt idx="36">
                  <c:v>50.0793384645122</c:v>
                </c:pt>
                <c:pt idx="37">
                  <c:v>49.8638212022802</c:v>
                </c:pt>
                <c:pt idx="38">
                  <c:v>49.647642076251</c:v>
                </c:pt>
                <c:pt idx="39">
                  <c:v>49.43077597534</c:v>
                </c:pt>
                <c:pt idx="40">
                  <c:v>49.2131971089479</c:v>
                </c:pt>
                <c:pt idx="41">
                  <c:v>48.9948790128826</c:v>
                </c:pt>
                <c:pt idx="42">
                  <c:v>48.7757945579208</c:v>
                </c:pt>
                <c:pt idx="43">
                  <c:v>48.5559159612186</c:v>
                </c:pt>
                <c:pt idx="44">
                  <c:v>48.3352148007801</c:v>
                </c:pt>
                <c:pt idx="45">
                  <c:v>48.1136620332016</c:v>
                </c:pt>
                <c:pt idx="46">
                  <c:v>47.8912280149028</c:v>
                </c:pt>
                <c:pt idx="47">
                  <c:v>47.6678825270621</c:v>
                </c:pt>
                <c:pt idx="48">
                  <c:v>47.4435948044673</c:v>
                </c:pt>
                <c:pt idx="49">
                  <c:v>47.2183335684904</c:v>
                </c:pt>
                <c:pt idx="50">
                  <c:v>46.9920670643841</c:v>
                </c:pt>
                <c:pt idx="51">
                  <c:v>46.7647631030953</c:v>
                </c:pt>
                <c:pt idx="52">
                  <c:v>46.5363891077696</c:v>
                </c:pt>
                <c:pt idx="53">
                  <c:v>46.3069121651137</c:v>
                </c:pt>
                <c:pt idx="54">
                  <c:v>46.0762990817588</c:v>
                </c:pt>
                <c:pt idx="55">
                  <c:v>45.8445164457478</c:v>
                </c:pt>
                <c:pt idx="56">
                  <c:v>45.6115306932442</c:v>
                </c:pt>
                <c:pt idx="57">
                  <c:v>45.3773081805335</c:v>
                </c:pt>
                <c:pt idx="58">
                  <c:v>45.1418152613506</c:v>
                </c:pt>
                <c:pt idx="59">
                  <c:v>44.905018369538</c:v>
                </c:pt>
                <c:pt idx="60">
                  <c:v>44.6668841069943</c:v>
                </c:pt>
                <c:pt idx="61">
                  <c:v>44.4273793368338</c:v>
                </c:pt>
                <c:pt idx="62">
                  <c:v>44.1864712816307</c:v>
                </c:pt>
                <c:pt idx="63">
                  <c:v>43.9441276265751</c:v>
                </c:pt>
                <c:pt idx="64">
                  <c:v>43.7003166273138</c:v>
                </c:pt>
                <c:pt idx="65">
                  <c:v>43.4550072222006</c:v>
                </c:pt>
                <c:pt idx="66">
                  <c:v>43.2081691486239</c:v>
                </c:pt>
                <c:pt idx="67">
                  <c:v>42.959773063024</c:v>
                </c:pt>
                <c:pt idx="68">
                  <c:v>42.7097906641611</c:v>
                </c:pt>
                <c:pt idx="69">
                  <c:v>42.4581948191354</c:v>
                </c:pt>
                <c:pt idx="70">
                  <c:v>42.2049596916131</c:v>
                </c:pt>
                <c:pt idx="71">
                  <c:v>41.9500608716559</c:v>
                </c:pt>
                <c:pt idx="72">
                  <c:v>41.6934755065085</c:v>
                </c:pt>
                <c:pt idx="73">
                  <c:v>41.4351824316524</c:v>
                </c:pt>
                <c:pt idx="74">
                  <c:v>41.1751623013956</c:v>
                </c:pt>
                <c:pt idx="75">
                  <c:v>40.9133977182368</c:v>
                </c:pt>
                <c:pt idx="76">
                  <c:v>40.6498733602138</c:v>
                </c:pt>
                <c:pt idx="77">
                  <c:v>40.384576105428</c:v>
                </c:pt>
                <c:pt idx="78">
                  <c:v>40.1174951529268</c:v>
                </c:pt>
                <c:pt idx="79">
                  <c:v>39.8486221391215</c:v>
                </c:pt>
                <c:pt idx="80">
                  <c:v>39.5779512489245</c:v>
                </c:pt>
                <c:pt idx="81">
                  <c:v>39.305479320808</c:v>
                </c:pt>
                <c:pt idx="82">
                  <c:v>39.0312059450082</c:v>
                </c:pt>
                <c:pt idx="83">
                  <c:v>38.7551335541335</c:v>
                </c:pt>
                <c:pt idx="84">
                  <c:v>38.4772675054802</c:v>
                </c:pt>
                <c:pt idx="85">
                  <c:v>38.1976161544087</c:v>
                </c:pt>
                <c:pt idx="86">
                  <c:v>37.9161909181912</c:v>
                </c:pt>
                <c:pt idx="87">
                  <c:v>37.6330063298124</c:v>
                </c:pt>
                <c:pt idx="88">
                  <c:v>37.3480800812713</c:v>
                </c:pt>
                <c:pt idx="89">
                  <c:v>37.0614330560143</c:v>
                </c:pt>
                <c:pt idx="90">
                  <c:v>36.773089350206</c:v>
                </c:pt>
                <c:pt idx="91">
                  <c:v>36.4830762826334</c:v>
                </c:pt>
                <c:pt idx="92">
                  <c:v>36.1914243931152</c:v>
                </c:pt>
                <c:pt idx="93">
                  <c:v>35.8981674293813</c:v>
                </c:pt>
                <c:pt idx="94">
                  <c:v>35.6033423224636</c:v>
                </c:pt>
                <c:pt idx="95">
                  <c:v>35.3069891507197</c:v>
                </c:pt>
                <c:pt idx="96">
                  <c:v>35.0091510926922</c:v>
                </c:pt>
                <c:pt idx="97">
                  <c:v>34.7098743690689</c:v>
                </c:pt>
                <c:pt idx="98">
                  <c:v>34.4092081740794</c:v>
                </c:pt>
                <c:pt idx="99">
                  <c:v>34.1072045967199</c:v>
                </c:pt>
                <c:pt idx="100">
                  <c:v>33.8039185322466</c:v>
                </c:pt>
                <c:pt idx="101">
                  <c:v>33.4994075844226</c:v>
                </c:pt>
                <c:pt idx="102">
                  <c:v>33.1937319590377</c:v>
                </c:pt>
                <c:pt idx="103">
                  <c:v>32.8869543492428</c:v>
                </c:pt>
                <c:pt idx="104">
                  <c:v>32.5791398132661</c:v>
                </c:pt>
                <c:pt idx="105">
                  <c:v>32.2703556450803</c:v>
                </c:pt>
                <c:pt idx="106">
                  <c:v>31.9606712386057</c:v>
                </c:pt>
                <c:pt idx="107">
                  <c:v>31.6501579460166</c:v>
                </c:pt>
                <c:pt idx="108">
                  <c:v>31.3388889307256</c:v>
                </c:pt>
                <c:pt idx="109">
                  <c:v>31.0269390155992</c:v>
                </c:pt>
                <c:pt idx="110">
                  <c:v>30.7143845269417</c:v>
                </c:pt>
                <c:pt idx="111">
                  <c:v>30.4013031347718</c:v>
                </c:pt>
                <c:pt idx="112">
                  <c:v>30.0877736898916</c:v>
                </c:pt>
                <c:pt idx="113">
                  <c:v>29.7738760582253</c:v>
                </c:pt>
                <c:pt idx="114">
                  <c:v>29.4596909528918</c:v>
                </c:pt>
                <c:pt idx="115">
                  <c:v>29.1452997644451</c:v>
                </c:pt>
                <c:pt idx="116">
                  <c:v>28.8307843897145</c:v>
                </c:pt>
                <c:pt idx="117">
                  <c:v>28.5162270596445</c:v>
                </c:pt>
                <c:pt idx="118">
                  <c:v>28.2017101665399</c:v>
                </c:pt>
                <c:pt idx="119">
                  <c:v>27.8873160911048</c:v>
                </c:pt>
                <c:pt idx="120">
                  <c:v>27.5731270296635</c:v>
                </c:pt>
                <c:pt idx="121">
                  <c:v>27.2592248219552</c:v>
                </c:pt>
                <c:pt idx="122">
                  <c:v>26.9456907798962</c:v>
                </c:pt>
                <c:pt idx="123">
                  <c:v>26.6326055177145</c:v>
                </c:pt>
                <c:pt idx="124">
                  <c:v>26.3200487838763</c:v>
                </c:pt>
                <c:pt idx="125">
                  <c:v>26.0080992952352</c:v>
                </c:pt>
                <c:pt idx="126">
                  <c:v>25.6968345738598</c:v>
                </c:pt>
                <c:pt idx="127">
                  <c:v>25.3863307870098</c:v>
                </c:pt>
                <c:pt idx="128">
                  <c:v>25.0766625907545</c:v>
                </c:pt>
                <c:pt idx="129">
                  <c:v>24.7679029777491</c:v>
                </c:pt>
                <c:pt idx="130">
                  <c:v>24.4601231297019</c:v>
                </c:pt>
                <c:pt idx="131">
                  <c:v>24.1533922750845</c:v>
                </c:pt>
                <c:pt idx="132">
                  <c:v>23.8477775526498</c:v>
                </c:pt>
                <c:pt idx="133">
                  <c:v>23.5433438813373</c:v>
                </c:pt>
                <c:pt idx="134">
                  <c:v>23.2401538371421</c:v>
                </c:pt>
                <c:pt idx="135">
                  <c:v>22.9382675375335</c:v>
                </c:pt>
                <c:pt idx="136">
                  <c:v>22.637742533992</c:v>
                </c:pt>
                <c:pt idx="137">
                  <c:v>22.3386337132258</c:v>
                </c:pt>
                <c:pt idx="138">
                  <c:v>22.0409932076012</c:v>
                </c:pt>
                <c:pt idx="139">
                  <c:v>21.7448703152918</c:v>
                </c:pt>
                <c:pt idx="140">
                  <c:v>21.4503114306154</c:v>
                </c:pt>
                <c:pt idx="141">
                  <c:v>21.1573599849753</c:v>
                </c:pt>
                <c:pt idx="142">
                  <c:v>20.8660563987749</c:v>
                </c:pt>
                <c:pt idx="143">
                  <c:v>20.5764380446092</c:v>
                </c:pt>
                <c:pt idx="144">
                  <c:v>20.288539221969</c:v>
                </c:pt>
                <c:pt idx="145">
                  <c:v>20.0023911436231</c:v>
                </c:pt>
                <c:pt idx="146">
                  <c:v>19.7180219337625</c:v>
                </c:pt>
                <c:pt idx="147">
                  <c:v>19.4354566379131</c:v>
                </c:pt>
                <c:pt idx="148">
                  <c:v>19.1547172445355</c:v>
                </c:pt>
                <c:pt idx="149">
                  <c:v>18.8758227181502</c:v>
                </c:pt>
                <c:pt idx="150">
                  <c:v>18.5987890437418</c:v>
                </c:pt>
                <c:pt idx="151">
                  <c:v>18.3236292821108</c:v>
                </c:pt>
                <c:pt idx="152">
                  <c:v>18.0503536357683</c:v>
                </c:pt>
                <c:pt idx="153">
                  <c:v>17.7789695248899</c:v>
                </c:pt>
                <c:pt idx="154">
                  <c:v>17.5094816727781</c:v>
                </c:pt>
                <c:pt idx="155">
                  <c:v>17.2418922002213</c:v>
                </c:pt>
                <c:pt idx="156">
                  <c:v>16.9762007280792</c:v>
                </c:pt>
                <c:pt idx="157">
                  <c:v>16.7124044873835</c:v>
                </c:pt>
                <c:pt idx="158">
                  <c:v>16.4504984361975</c:v>
                </c:pt>
                <c:pt idx="159">
                  <c:v>16.1904753824561</c:v>
                </c:pt>
                <c:pt idx="160">
                  <c:v>15.9323261119827</c:v>
                </c:pt>
                <c:pt idx="161">
                  <c:v>15.6760395208727</c:v>
                </c:pt>
                <c:pt idx="162">
                  <c:v>15.4216027514296</c:v>
                </c:pt>
                <c:pt idx="163">
                  <c:v>15.1690013308453</c:v>
                </c:pt>
                <c:pt idx="164">
                  <c:v>14.9182193118375</c:v>
                </c:pt>
                <c:pt idx="165">
                  <c:v>14.6692394144709</c:v>
                </c:pt>
                <c:pt idx="166">
                  <c:v>14.4220431684275</c:v>
                </c:pt>
                <c:pt idx="167">
                  <c:v>14.1766110550195</c:v>
                </c:pt>
                <c:pt idx="168">
                  <c:v>13.9329226482858</c:v>
                </c:pt>
                <c:pt idx="169">
                  <c:v>13.6909567545513</c:v>
                </c:pt>
                <c:pt idx="170">
                  <c:v>13.4506915498841</c:v>
                </c:pt>
                <c:pt idx="171">
                  <c:v>13.2121047149302</c:v>
                </c:pt>
                <c:pt idx="172">
                  <c:v>12.9751735666634</c:v>
                </c:pt>
                <c:pt idx="173">
                  <c:v>12.7398751866372</c:v>
                </c:pt>
                <c:pt idx="174">
                  <c:v>12.5061865453825</c:v>
                </c:pt>
                <c:pt idx="175">
                  <c:v>12.2740846226451</c:v>
                </c:pt>
                <c:pt idx="176">
                  <c:v>12.0435465232105</c:v>
                </c:pt>
                <c:pt idx="177">
                  <c:v>11.8145495881113</c:v>
                </c:pt>
                <c:pt idx="178">
                  <c:v>11.587071501061</c:v>
                </c:pt>
                <c:pt idx="179">
                  <c:v>11.3610903900001</c:v>
                </c:pt>
                <c:pt idx="180">
                  <c:v>11.1365849236846</c:v>
                </c:pt>
                <c:pt idx="181">
                  <c:v>10.9135344032817</c:v>
                </c:pt>
                <c:pt idx="182">
                  <c:v>10.6919188489713</c:v>
                </c:pt>
                <c:pt idx="183">
                  <c:v>10.4717190815859</c:v>
                </c:pt>
                <c:pt idx="184">
                  <c:v>10.2529167993415</c:v>
                </c:pt>
                <c:pt idx="185">
                  <c:v>10.0354946497416</c:v>
                </c:pt>
                <c:pt idx="186">
                  <c:v>9.81943629674878</c:v>
                </c:pt>
                <c:pt idx="187">
                  <c:v>9.60472648333705</c:v>
                </c:pt>
                <c:pt idx="188">
                  <c:v>9.39135108954989</c:v>
                </c:pt>
                <c:pt idx="189">
                  <c:v>9.17929718619416</c:v>
                </c:pt>
                <c:pt idx="190">
                  <c:v>8.96855308430712</c:v>
                </c:pt>
                <c:pt idx="191">
                  <c:v>8.75910838053576</c:v>
                </c:pt>
                <c:pt idx="192">
                  <c:v>8.55095399856459</c:v>
                </c:pt>
                <c:pt idx="193">
                  <c:v>8.34408222672718</c:v>
                </c:pt>
                <c:pt idx="194">
                  <c:v>8.13848675192875</c:v>
                </c:pt>
                <c:pt idx="195">
                  <c:v>7.93416268999936</c:v>
                </c:pt>
                <c:pt idx="196">
                  <c:v>7.73110661258934</c:v>
                </c:pt>
                <c:pt idx="197">
                  <c:v>7.52931657070437</c:v>
                </c:pt>
                <c:pt idx="198">
                  <c:v>7.32879211496545</c:v>
                </c:pt>
                <c:pt idx="199">
                  <c:v>7.12953431266723</c:v>
                </c:pt>
                <c:pt idx="200">
                  <c:v>6.93154576168857</c:v>
                </c:pt>
                <c:pt idx="201">
                  <c:v>6.73483060129804</c:v>
                </c:pt>
                <c:pt idx="202">
                  <c:v>6.53939451987916</c:v>
                </c:pt>
                <c:pt idx="203">
                  <c:v>6.34524475958033</c:v>
                </c:pt>
                <c:pt idx="204">
                  <c:v>6.15239011788465</c:v>
                </c:pt>
                <c:pt idx="205">
                  <c:v>5.96084094607165</c:v>
                </c:pt>
                <c:pt idx="206">
                  <c:v>5.77060914453221</c:v>
                </c:pt>
                <c:pt idx="207">
                  <c:v>5.58170815487826</c:v>
                </c:pt>
                <c:pt idx="208">
                  <c:v>5.39415294877758</c:v>
                </c:pt>
                <c:pt idx="209">
                  <c:v>5.20796001342986</c:v>
                </c:pt>
                <c:pt idx="210">
                  <c:v>5.02314733358587</c:v>
                </c:pt>
                <c:pt idx="211">
                  <c:v>4.83973437000365</c:v>
                </c:pt>
                <c:pt idx="212">
                  <c:v>4.65774203422707</c:v>
                </c:pt>
                <c:pt idx="213">
                  <c:v>4.47719265956076</c:v>
                </c:pt>
                <c:pt idx="214">
                  <c:v>4.29810996811766</c:v>
                </c:pt>
                <c:pt idx="215">
                  <c:v>4.12051903380639</c:v>
                </c:pt>
                <c:pt idx="216">
                  <c:v>3.94444624113184</c:v>
                </c:pt>
                <c:pt idx="217">
                  <c:v>3.76991923968158</c:v>
                </c:pt>
                <c:pt idx="218">
                  <c:v>3.59696689417857</c:v>
                </c:pt>
                <c:pt idx="219">
                  <c:v>3.42561922999195</c:v>
                </c:pt>
                <c:pt idx="220">
                  <c:v>3.25590737400747</c:v>
                </c:pt>
                <c:pt idx="221">
                  <c:v>3.08786349077681</c:v>
                </c:pt>
                <c:pt idx="222">
                  <c:v>2.92152071388803</c:v>
                </c:pt>
                <c:pt idx="223">
                  <c:v>2.75691307251721</c:v>
                </c:pt>
                <c:pt idx="224">
                  <c:v>2.59407541315345</c:v>
                </c:pt>
                <c:pt idx="225">
                  <c:v>2.43304331651833</c:v>
                </c:pt>
                <c:pt idx="226">
                  <c:v>2.27385300973424</c:v>
                </c:pt>
                <c:pt idx="227">
                  <c:v>2.11654127383529</c:v>
                </c:pt>
                <c:pt idx="228">
                  <c:v>1.96114534675189</c:v>
                </c:pt>
                <c:pt idx="229">
                  <c:v>1.80770282194537</c:v>
                </c:pt>
                <c:pt idx="230">
                  <c:v>1.65625154291268</c:v>
                </c:pt>
                <c:pt idx="231">
                  <c:v>1.50682949382734</c:v>
                </c:pt>
                <c:pt idx="232">
                  <c:v>1.35947468663062</c:v>
                </c:pt>
                <c:pt idx="233">
                  <c:v>1.21422504493554</c:v>
                </c:pt>
                <c:pt idx="234">
                  <c:v>1.07111828515174</c:v>
                </c:pt>
                <c:pt idx="235">
                  <c:v>0.930191795287822</c:v>
                </c:pt>
                <c:pt idx="236">
                  <c:v>0.791482511930206</c:v>
                </c:pt>
                <c:pt idx="237">
                  <c:v>0.655026795940787</c:v>
                </c:pt>
                <c:pt idx="238">
                  <c:v>0.520860307450629</c:v>
                </c:pt>
                <c:pt idx="239">
                  <c:v>0.389017880763497</c:v>
                </c:pt>
                <c:pt idx="240">
                  <c:v>0.259533399807159</c:v>
                </c:pt>
                <c:pt idx="241">
                  <c:v>0.132439674794074</c:v>
                </c:pt>
                <c:pt idx="242">
                  <c:v>0.00776832076466205</c:v>
                </c:pt>
                <c:pt idx="243">
                  <c:v>-0.114450361304515</c:v>
                </c:pt>
                <c:pt idx="244">
                  <c:v>-0.234187500150916</c:v>
                </c:pt>
                <c:pt idx="245">
                  <c:v>-0.351415765965229</c:v>
                </c:pt>
                <c:pt idx="246">
                  <c:v>-0.46610947757383</c:v>
                </c:pt>
                <c:pt idx="247">
                  <c:v>-0.578244704444827</c:v>
                </c:pt>
                <c:pt idx="248">
                  <c:v>-0.687799362938447</c:v>
                </c:pt>
                <c:pt idx="249">
                  <c:v>-0.794753306269236</c:v>
                </c:pt>
                <c:pt idx="250">
                  <c:v>-0.899088407701451</c:v>
                </c:pt>
                <c:pt idx="251">
                  <c:v>-1.00078863656591</c:v>
                </c:pt>
                <c:pt idx="252">
                  <c:v>-1.0998401267519</c:v>
                </c:pt>
                <c:pt idx="253">
                  <c:v>-1.19623123740758</c:v>
                </c:pt>
                <c:pt idx="254">
                  <c:v>-1.28995260566059</c:v>
                </c:pt>
                <c:pt idx="255">
                  <c:v>-1.38099719125536</c:v>
                </c:pt>
                <c:pt idx="256">
                  <c:v>-1.46936031308844</c:v>
                </c:pt>
                <c:pt idx="257">
                  <c:v>-1.55503967770989</c:v>
                </c:pt>
                <c:pt idx="258">
                  <c:v>-1.63803539994257</c:v>
                </c:pt>
                <c:pt idx="259">
                  <c:v>-1.71835001585358</c:v>
                </c:pt>
                <c:pt idx="260">
                  <c:v>-1.79598848838966</c:v>
                </c:pt>
                <c:pt idx="261">
                  <c:v>-1.87095820605867</c:v>
                </c:pt>
                <c:pt idx="262">
                  <c:v>-1.94326897510539</c:v>
                </c:pt>
                <c:pt idx="263">
                  <c:v>-2.01293300568431</c:v>
                </c:pt>
                <c:pt idx="264">
                  <c:v>-2.07996489257788</c:v>
                </c:pt>
                <c:pt idx="265">
                  <c:v>-2.14438159104585</c:v>
                </c:pt>
                <c:pt idx="266">
                  <c:v>-2.20620238841441</c:v>
                </c:pt>
                <c:pt idx="267">
                  <c:v>-2.26544887202699</c:v>
                </c:pt>
                <c:pt idx="268">
                  <c:v>-2.3221448941788</c:v>
                </c:pt>
                <c:pt idx="269">
                  <c:v>-2.37631653464713</c:v>
                </c:pt>
                <c:pt idx="270">
                  <c:v>-2.42799206140579</c:v>
                </c:pt>
                <c:pt idx="271">
                  <c:v>-2.47720189007804</c:v>
                </c:pt>
                <c:pt idx="272">
                  <c:v>-2.52397854263828</c:v>
                </c:pt>
                <c:pt idx="273">
                  <c:v>-2.56835660581929</c:v>
                </c:pt>
                <c:pt idx="274">
                  <c:v>-2.61037268961753</c:v>
                </c:pt>
                <c:pt idx="275">
                  <c:v>-2.65006538622282</c:v>
                </c:pt>
                <c:pt idx="276">
                  <c:v>-2.68747522962041</c:v>
                </c:pt>
                <c:pt idx="277">
                  <c:v>-2.72264465603533</c:v>
                </c:pt>
                <c:pt idx="278">
                  <c:v>-2.75561796530958</c:v>
                </c:pt>
                <c:pt idx="279">
                  <c:v>-2.78644128321694</c:v>
                </c:pt>
                <c:pt idx="280">
                  <c:v>-2.81516252464145</c:v>
                </c:pt>
                <c:pt idx="281">
                  <c:v>-2.84183135746626</c:v>
                </c:pt>
                <c:pt idx="282">
                  <c:v>-2.86649916694748</c:v>
                </c:pt>
                <c:pt idx="283">
                  <c:v>-2.88921902027782</c:v>
                </c:pt>
                <c:pt idx="284">
                  <c:v>-2.91004563098701</c:v>
                </c:pt>
                <c:pt idx="285">
                  <c:v>-2.92903532277576</c:v>
                </c:pt>
                <c:pt idx="286">
                  <c:v>-2.94624599233859</c:v>
                </c:pt>
                <c:pt idx="287">
                  <c:v>-2.96173707070381</c:v>
                </c:pt>
                <c:pt idx="288">
                  <c:v>-2.97556948260372</c:v>
                </c:pt>
                <c:pt idx="289">
                  <c:v>-2.98780560338322</c:v>
                </c:pt>
                <c:pt idx="290">
                  <c:v>-2.99850921296737</c:v>
                </c:pt>
                <c:pt idx="291">
                  <c:v>-3.00774544643111</c:v>
                </c:pt>
                <c:pt idx="292">
                  <c:v>-3.01558074075393</c:v>
                </c:pt>
                <c:pt idx="293">
                  <c:v>-3.02208277738705</c:v>
                </c:pt>
                <c:pt idx="294">
                  <c:v>-3.02732042032866</c:v>
                </c:pt>
                <c:pt idx="295">
                  <c:v>-3.03136364947017</c:v>
                </c:pt>
                <c:pt idx="296">
                  <c:v>-3.03428348905916</c:v>
                </c:pt>
                <c:pt idx="297">
                  <c:v>-3.03615193121544</c:v>
                </c:pt>
                <c:pt idx="298">
                  <c:v>-3.03704185453011</c:v>
                </c:pt>
                <c:pt idx="299">
                  <c:v>-3.03702693787593</c:v>
                </c:pt>
                <c:pt idx="300">
                  <c:v>-3.0361815696594</c:v>
                </c:pt>
                <c:pt idx="301">
                  <c:v>-3.03458075284299</c:v>
                </c:pt>
                <c:pt idx="302">
                  <c:v>-3.03230000616271</c:v>
                </c:pt>
                <c:pt idx="303">
                  <c:v>-3.02941526205989</c:v>
                </c:pt>
                <c:pt idx="304">
                  <c:v>-3.02600276192632</c:v>
                </c:pt>
                <c:pt idx="305">
                  <c:v>-3.02213894934197</c:v>
                </c:pt>
                <c:pt idx="306">
                  <c:v>-3.01790036204158</c:v>
                </c:pt>
                <c:pt idx="307">
                  <c:v>-3.01336352340504</c:v>
                </c:pt>
                <c:pt idx="308">
                  <c:v>-3.00860483429628</c:v>
                </c:pt>
                <c:pt idx="309">
                  <c:v>-3.00370046610091</c:v>
                </c:pt>
                <c:pt idx="310">
                  <c:v>-2.99872625581913</c:v>
                </c:pt>
                <c:pt idx="311">
                  <c:v>-2.99375760405859</c:v>
                </c:pt>
                <c:pt idx="312">
                  <c:v>-2.98886937674915</c:v>
                </c:pt>
                <c:pt idx="313">
                  <c:v>-2.98413581135694</c:v>
                </c:pt>
                <c:pt idx="314">
                  <c:v>-2.97963042832404</c:v>
                </c:pt>
                <c:pt idx="315">
                  <c:v>-2.97542594838927</c:v>
                </c:pt>
                <c:pt idx="316">
                  <c:v>-2.97159421636245</c:v>
                </c:pt>
                <c:pt idx="317">
                  <c:v>-2.96820613184056</c:v>
                </c:pt>
                <c:pt idx="318">
                  <c:v>-2.96533158724688</c:v>
                </c:pt>
                <c:pt idx="319">
                  <c:v>-2.96303941347348</c:v>
                </c:pt>
                <c:pt idx="320">
                  <c:v>-2.96139733329754</c:v>
                </c:pt>
                <c:pt idx="321">
                  <c:v>-2.96047192262704</c:v>
                </c:pt>
                <c:pt idx="322">
                  <c:v>-2.96032857951907</c:v>
                </c:pt>
                <c:pt idx="323">
                  <c:v>-2.96103150080942</c:v>
                </c:pt>
                <c:pt idx="324">
                  <c:v>-2.96264366607548</c:v>
                </c:pt>
                <c:pt idx="325">
                  <c:v>-2.96522682856542</c:v>
                </c:pt>
                <c:pt idx="326">
                  <c:v>-2.96884151262166</c:v>
                </c:pt>
                <c:pt idx="327">
                  <c:v>-2.9735470170512</c:v>
                </c:pt>
                <c:pt idx="328">
                  <c:v>-2.97940142381434</c:v>
                </c:pt>
                <c:pt idx="329">
                  <c:v>-2.98646161134156</c:v>
                </c:pt>
                <c:pt idx="330">
                  <c:v>-2.99478327173602</c:v>
                </c:pt>
                <c:pt idx="331">
                  <c:v>-3.00442093107442</c:v>
                </c:pt>
                <c:pt idx="332">
                  <c:v>-3.01542797199936</c:v>
                </c:pt>
                <c:pt idx="333">
                  <c:v>-3.02785665776701</c:v>
                </c:pt>
                <c:pt idx="334">
                  <c:v>-3.04175815692379</c:v>
                </c:pt>
                <c:pt idx="335">
                  <c:v>-3.05718256778284</c:v>
                </c:pt>
                <c:pt idx="336">
                  <c:v>-3.07417894189704</c:v>
                </c:pt>
                <c:pt idx="337">
                  <c:v>-3.092795305752</c:v>
                </c:pt>
                <c:pt idx="338">
                  <c:v>-3.11307867994507</c:v>
                </c:pt>
                <c:pt idx="339">
                  <c:v>-3.13507509516442</c:v>
                </c:pt>
                <c:pt idx="340">
                  <c:v>-3.15882960434279</c:v>
                </c:pt>
                <c:pt idx="341">
                  <c:v>-3.18438629042382</c:v>
                </c:pt>
                <c:pt idx="342">
                  <c:v>-3.21178826925519</c:v>
                </c:pt>
                <c:pt idx="343">
                  <c:v>-3.24107768719801</c:v>
                </c:pt>
                <c:pt idx="344">
                  <c:v>-3.27229571312951</c:v>
                </c:pt>
                <c:pt idx="345">
                  <c:v>-3.30548252459723</c:v>
                </c:pt>
                <c:pt idx="346">
                  <c:v>-3.3406772879818</c:v>
                </c:pt>
                <c:pt idx="347">
                  <c:v>-3.37791813260761</c:v>
                </c:pt>
                <c:pt idx="348">
                  <c:v>-3.41724211884153</c:v>
                </c:pt>
                <c:pt idx="349">
                  <c:v>-3.45868520030719</c:v>
                </c:pt>
                <c:pt idx="350">
                  <c:v>-3.50228218043576</c:v>
                </c:pt>
                <c:pt idx="351">
                  <c:v>-3.54806666366191</c:v>
                </c:pt>
                <c:pt idx="352">
                  <c:v>-3.59607100165931</c:v>
                </c:pt>
                <c:pt idx="353">
                  <c:v>-3.64632623509324</c:v>
                </c:pt>
                <c:pt idx="354">
                  <c:v>-3.69886203143779</c:v>
                </c:pt>
                <c:pt idx="355">
                  <c:v>-3.75370661948244</c:v>
                </c:pt>
                <c:pt idx="356">
                  <c:v>-3.81088672120799</c:v>
                </c:pt>
                <c:pt idx="357">
                  <c:v>-3.87042748177075</c:v>
                </c:pt>
                <c:pt idx="358">
                  <c:v>-3.93235239837517</c:v>
                </c:pt>
                <c:pt idx="359">
                  <c:v>-3.99668324885417</c:v>
                </c:pt>
                <c:pt idx="360">
                  <c:v>-4.06344002079922</c:v>
                </c:pt>
                <c:pt idx="361">
                  <c:v>-4.13264084209723</c:v>
                </c:pt>
                <c:pt idx="362">
                  <c:v>-4.20430191373554</c:v>
                </c:pt>
                <c:pt idx="363">
                  <c:v>-4.27843744572873</c:v>
                </c:pt>
                <c:pt idx="364">
                  <c:v>-4.35505959699918</c:v>
                </c:pt>
                <c:pt idx="365">
                  <c:v>-4.43417842001704</c:v>
                </c:pt>
                <c:pt idx="366">
                  <c:v>-4.51580181096127</c:v>
                </c:pt>
                <c:pt idx="367">
                  <c:v>-4.59993546611256</c:v>
                </c:pt>
                <c:pt idx="368">
                  <c:v>-4.68658284512834</c:v>
                </c:pt>
                <c:pt idx="369">
                  <c:v>-4.77574514178005</c:v>
                </c:pt>
                <c:pt idx="370">
                  <c:v>-4.8674212626546</c:v>
                </c:pt>
                <c:pt idx="371">
                  <c:v>-4.96160781423877</c:v>
                </c:pt>
                <c:pt idx="372">
                  <c:v>-5.05829909871481</c:v>
                </c:pt>
                <c:pt idx="373">
                  <c:v>-5.1574871187029</c:v>
                </c:pt>
                <c:pt idx="374">
                  <c:v>-5.25916159109006</c:v>
                </c:pt>
                <c:pt idx="375">
                  <c:v>-5.36330996998784</c:v>
                </c:pt>
                <c:pt idx="376">
                  <c:v>-5.46991747876735</c:v>
                </c:pt>
                <c:pt idx="377">
                  <c:v>-5.57896715102201</c:v>
                </c:pt>
                <c:pt idx="378">
                  <c:v>-5.69043988022306</c:v>
                </c:pt>
                <c:pt idx="379">
                  <c:v>-5.80431447774252</c:v>
                </c:pt>
                <c:pt idx="380">
                  <c:v>-5.92056773884228</c:v>
                </c:pt>
                <c:pt idx="381">
                  <c:v>-6.03917451615329</c:v>
                </c:pt>
                <c:pt idx="382">
                  <c:v>-6.1601078001046</c:v>
                </c:pt>
                <c:pt idx="383">
                  <c:v>-6.28333880570817</c:v>
                </c:pt>
                <c:pt idx="384">
                  <c:v>-6.40883706505508</c:v>
                </c:pt>
                <c:pt idx="385">
                  <c:v>-6.53657052484658</c:v>
                </c:pt>
                <c:pt idx="386">
                  <c:v>-6.66650564825136</c:v>
                </c:pt>
                <c:pt idx="387">
                  <c:v>-6.79860752036733</c:v>
                </c:pt>
                <c:pt idx="388">
                  <c:v>-6.93283995655426</c:v>
                </c:pt>
                <c:pt idx="389">
                  <c:v>-7.06916561290896</c:v>
                </c:pt>
                <c:pt idx="390">
                  <c:v>-7.20754609816011</c:v>
                </c:pt>
                <c:pt idx="391">
                  <c:v>-7.34794208628077</c:v>
                </c:pt>
                <c:pt idx="392">
                  <c:v>-7.49031342914093</c:v>
                </c:pt>
                <c:pt idx="393">
                  <c:v>-7.63461926855157</c:v>
                </c:pt>
                <c:pt idx="394">
                  <c:v>-7.78081814709292</c:v>
                </c:pt>
                <c:pt idx="395">
                  <c:v>-7.92886811715644</c:v>
                </c:pt>
                <c:pt idx="396">
                  <c:v>-8.07872684767971</c:v>
                </c:pt>
                <c:pt idx="397">
                  <c:v>-8.23035172809663</c:v>
                </c:pt>
                <c:pt idx="398">
                  <c:v>-8.38369996908211</c:v>
                </c:pt>
                <c:pt idx="399">
                  <c:v>-8.5387286997135</c:v>
                </c:pt>
                <c:pt idx="400">
                  <c:v>-8.69539506073116</c:v>
                </c:pt>
                <c:pt idx="401">
                  <c:v>-8.8536562936233</c:v>
                </c:pt>
                <c:pt idx="402">
                  <c:v>-9.01346982531674</c:v>
                </c:pt>
                <c:pt idx="403">
                  <c:v>-9.17479334830175</c:v>
                </c:pt>
                <c:pt idx="404">
                  <c:v>-9.33758489606395</c:v>
                </c:pt>
                <c:pt idx="405">
                  <c:v>-9.50180291374261</c:v>
                </c:pt>
                <c:pt idx="406">
                  <c:v>-9.66740632397489</c:v>
                </c:pt>
                <c:pt idx="407">
                  <c:v>-9.83435458792347</c:v>
                </c:pt>
                <c:pt idx="408">
                  <c:v>-10.0026077615213</c:v>
                </c:pt>
                <c:pt idx="409">
                  <c:v>-10.1721265469971</c:v>
                </c:pt>
                <c:pt idx="410">
                  <c:v>-10.3428723397754</c:v>
                </c:pt>
                <c:pt idx="411">
                  <c:v>-10.5148072708688</c:v>
                </c:pt>
                <c:pt idx="412">
                  <c:v>-10.687894244901</c:v>
                </c:pt>
                <c:pt idx="413">
                  <c:v>-10.8620969739207</c:v>
                </c:pt>
                <c:pt idx="414">
                  <c:v>-11.0373800071782</c:v>
                </c:pt>
                <c:pt idx="415">
                  <c:v>-11.2137087570515</c:v>
                </c:pt>
                <c:pt idx="416">
                  <c:v>-11.3910495213188</c:v>
                </c:pt>
                <c:pt idx="417">
                  <c:v>-11.5693695019783</c:v>
                </c:pt>
                <c:pt idx="418">
                  <c:v>-11.7486368208253</c:v>
                </c:pt>
                <c:pt idx="419">
                  <c:v>-11.9288205319973</c:v>
                </c:pt>
                <c:pt idx="420">
                  <c:v>-12.1098906316988</c:v>
                </c:pt>
                <c:pt idx="421">
                  <c:v>-12.2918180653168</c:v>
                </c:pt>
                <c:pt idx="422">
                  <c:v>-12.4745747321353</c:v>
                </c:pt>
                <c:pt idx="423">
                  <c:v>-12.6581334878566</c:v>
                </c:pt>
                <c:pt idx="424">
                  <c:v>-12.842468145126</c:v>
                </c:pt>
                <c:pt idx="425">
                  <c:v>-13.0275534722591</c:v>
                </c:pt>
                <c:pt idx="426">
                  <c:v>-13.213365190357</c:v>
                </c:pt>
                <c:pt idx="427">
                  <c:v>-13.3998799689929</c:v>
                </c:pt>
                <c:pt idx="428">
                  <c:v>-13.5870754206431</c:v>
                </c:pt>
                <c:pt idx="429">
                  <c:v>-13.7749300940293</c:v>
                </c:pt>
                <c:pt idx="430">
                  <c:v>-13.9634234665302</c:v>
                </c:pt>
                <c:pt idx="431">
                  <c:v>-14.1525359358111</c:v>
                </c:pt>
                <c:pt idx="432">
                  <c:v>-14.3422488108156</c:v>
                </c:pt>
                <c:pt idx="433">
                  <c:v>-14.5325443022489</c:v>
                </c:pt>
                <c:pt idx="434">
                  <c:v>-14.723405512681</c:v>
                </c:pt>
                <c:pt idx="435">
                  <c:v>-14.9148164263849</c:v>
                </c:pt>
                <c:pt idx="436">
                  <c:v>-15.1067618990193</c:v>
                </c:pt>
                <c:pt idx="437">
                  <c:v>-15.2992276472561</c:v>
                </c:pt>
                <c:pt idx="438">
                  <c:v>-15.4922002384491</c:v>
                </c:pt>
                <c:pt idx="439">
                  <c:v>-15.6856670804263</c:v>
                </c:pt>
                <c:pt idx="440">
                  <c:v>-15.8796164114898</c:v>
                </c:pt>
                <c:pt idx="441">
                  <c:v>-16.0740372906937</c:v>
                </c:pt>
                <c:pt idx="442">
                  <c:v>-16.2689195884671</c:v>
                </c:pt>
                <c:pt idx="443">
                  <c:v>-16.4642539776441</c:v>
                </c:pt>
                <c:pt idx="444">
                  <c:v>-16.6600319249539</c:v>
                </c:pt>
                <c:pt idx="445">
                  <c:v>-16.856245683022</c:v>
                </c:pt>
                <c:pt idx="446">
                  <c:v>-17.0528882829263</c:v>
                </c:pt>
                <c:pt idx="447">
                  <c:v>-17.2499535273461</c:v>
                </c:pt>
                <c:pt idx="448">
                  <c:v>-17.4474359843408</c:v>
                </c:pt>
                <c:pt idx="449">
                  <c:v>-17.6453309817859</c:v>
                </c:pt>
                <c:pt idx="450">
                  <c:v>-17.8436346024943</c:v>
                </c:pt>
                <c:pt idx="451">
                  <c:v>-18.0423436800411</c:v>
                </c:pt>
                <c:pt idx="452">
                  <c:v>-18.2414557953137</c:v>
                </c:pt>
                <c:pt idx="453">
                  <c:v>-18.4409692737958</c:v>
                </c:pt>
                <c:pt idx="454">
                  <c:v>-18.6408831836004</c:v>
                </c:pt>
                <c:pt idx="455">
                  <c:v>-18.8411973342522</c:v>
                </c:pt>
                <c:pt idx="456">
                  <c:v>-19.0419122762265</c:v>
                </c:pt>
                <c:pt idx="457">
                  <c:v>-19.2430293012407</c:v>
                </c:pt>
                <c:pt idx="458">
                  <c:v>-19.4445504432935</c:v>
                </c:pt>
                <c:pt idx="459">
                  <c:v>-19.6464784804447</c:v>
                </c:pt>
                <c:pt idx="460">
                  <c:v>-19.8488169373212</c:v>
                </c:pt>
                <c:pt idx="461">
                  <c:v>-20.0515700883352</c:v>
                </c:pt>
                <c:pt idx="462">
                  <c:v>-20.2547429615914</c:v>
                </c:pt>
                <c:pt idx="463">
                  <c:v>-20.4583413434635</c:v>
                </c:pt>
                <c:pt idx="464">
                  <c:v>-20.6623717838055</c:v>
                </c:pt>
                <c:pt idx="465">
                  <c:v>-20.8668416017717</c:v>
                </c:pt>
                <c:pt idx="466">
                  <c:v>-21.0717588922029</c:v>
                </c:pt>
                <c:pt idx="467">
                  <c:v>-21.2771325325387</c:v>
                </c:pt>
                <c:pt idx="468">
                  <c:v>-21.4829721902093</c:v>
                </c:pt>
                <c:pt idx="469">
                  <c:v>-21.6892883304526</c:v>
                </c:pt>
                <c:pt idx="470">
                  <c:v>-21.8960922244997</c:v>
                </c:pt>
                <c:pt idx="471">
                  <c:v>-22.1033959580658</c:v>
                </c:pt>
                <c:pt idx="472">
                  <c:v>-22.3112124400731</c:v>
                </c:pt>
                <c:pt idx="473">
                  <c:v>-22.5195554115341</c:v>
                </c:pt>
                <c:pt idx="474">
                  <c:v>-22.7284394545086</c:v>
                </c:pt>
                <c:pt idx="475">
                  <c:v>-22.9378800010453</c:v>
                </c:pt>
                <c:pt idx="476">
                  <c:v>-23.1478933420119</c:v>
                </c:pt>
                <c:pt idx="477">
                  <c:v>-23.3584966357065</c:v>
                </c:pt>
                <c:pt idx="478">
                  <c:v>-23.5697079161416</c:v>
                </c:pt>
                <c:pt idx="479">
                  <c:v>-23.7815461008745</c:v>
                </c:pt>
                <c:pt idx="480">
                  <c:v>-23.9940309982621</c:v>
                </c:pt>
                <c:pt idx="481">
                  <c:v>-24.2071833139974</c:v>
                </c:pt>
                <c:pt idx="482">
                  <c:v>-24.4210246567865</c:v>
                </c:pt>
                <c:pt idx="483">
                  <c:v>-24.6355775430103</c:v>
                </c:pt>
                <c:pt idx="484">
                  <c:v>-24.8508654002112</c:v>
                </c:pt>
                <c:pt idx="485">
                  <c:v>-25.0669125692328</c:v>
                </c:pt>
                <c:pt idx="486">
                  <c:v>-25.2837443048374</c:v>
                </c:pt>
                <c:pt idx="487">
                  <c:v>-25.5013867746148</c:v>
                </c:pt>
                <c:pt idx="488">
                  <c:v>-25.7198670559916</c:v>
                </c:pt>
                <c:pt idx="489">
                  <c:v>-25.9392131311432</c:v>
                </c:pt>
                <c:pt idx="490">
                  <c:v>-26.1594538796047</c:v>
                </c:pt>
                <c:pt idx="491">
                  <c:v>-26.380619068373</c:v>
                </c:pt>
                <c:pt idx="492">
                  <c:v>-26.6027393392914</c:v>
                </c:pt>
                <c:pt idx="493">
                  <c:v>-26.8258461935004</c:v>
                </c:pt>
                <c:pt idx="494">
                  <c:v>-27.0499719727454</c:v>
                </c:pt>
                <c:pt idx="495">
                  <c:v>-27.2751498373278</c:v>
                </c:pt>
                <c:pt idx="496">
                  <c:v>-27.5014137404925</c:v>
                </c:pt>
                <c:pt idx="497">
                  <c:v>-27.7287983990477</c:v>
                </c:pt>
                <c:pt idx="498">
                  <c:v>-27.9573392600265</c:v>
                </c:pt>
                <c:pt idx="499">
                  <c:v>-28.1870724632023</c:v>
                </c:pt>
                <c:pt idx="500">
                  <c:v>-28.418034799291</c:v>
                </c:pt>
                <c:pt idx="501">
                  <c:v>-28.6502636636851</c:v>
                </c:pt>
                <c:pt idx="502">
                  <c:v>-28.8837970055853</c:v>
                </c:pt>
                <c:pt idx="503">
                  <c:v>-29.1186732724196</c:v>
                </c:pt>
                <c:pt idx="504">
                  <c:v>-29.3549313494639</c:v>
                </c:pt>
                <c:pt idx="505">
                  <c:v>-29.592610494609</c:v>
                </c:pt>
                <c:pt idx="506">
                  <c:v>-29.831750268251</c:v>
                </c:pt>
                <c:pt idx="507">
                  <c:v>-30.0723904583218</c:v>
                </c:pt>
                <c:pt idx="508">
                  <c:v>-30.3145710005094</c:v>
                </c:pt>
                <c:pt idx="509">
                  <c:v>-30.5583318937698</c:v>
                </c:pt>
                <c:pt idx="510">
                  <c:v>-30.8037131112667</c:v>
                </c:pt>
                <c:pt idx="511">
                  <c:v>-31.0507545069349</c:v>
                </c:pt>
                <c:pt idx="512">
                  <c:v>-31.2994957179051</c:v>
                </c:pt>
                <c:pt idx="513">
                  <c:v>-31.5499760630815</c:v>
                </c:pt>
                <c:pt idx="514">
                  <c:v>-31.8022344382211</c:v>
                </c:pt>
                <c:pt idx="515">
                  <c:v>-32.0563092079075</c:v>
                </c:pt>
                <c:pt idx="516">
                  <c:v>-32.3122380948762</c:v>
                </c:pt>
                <c:pt idx="517">
                  <c:v>-32.5700580671901</c:v>
                </c:pt>
                <c:pt idx="518">
                  <c:v>-32.8298052238187</c:v>
                </c:pt>
                <c:pt idx="519">
                  <c:v>-33.0915146792215</c:v>
                </c:pt>
                <c:pt idx="520">
                  <c:v>-33.3552204475785</c:v>
                </c:pt>
                <c:pt idx="521">
                  <c:v>-33.6209553273464</c:v>
                </c:pt>
                <c:pt idx="522">
                  <c:v>-33.8887507868581</c:v>
                </c:pt>
                <c:pt idx="523">
                  <c:v>-34.1586368517033</c:v>
                </c:pt>
                <c:pt idx="524">
                  <c:v>-34.4306419946528</c:v>
                </c:pt>
                <c:pt idx="525">
                  <c:v>-34.7047930288965</c:v>
                </c:pt>
                <c:pt idx="526">
                  <c:v>-34.9811150053693</c:v>
                </c:pt>
                <c:pt idx="527">
                  <c:v>-35.2596311149349</c:v>
                </c:pt>
                <c:pt idx="528">
                  <c:v>-35.5403625961786</c:v>
                </c:pt>
                <c:pt idx="529">
                  <c:v>-35.8233286495382</c:v>
                </c:pt>
                <c:pt idx="530">
                  <c:v>-36.1085463584649</c:v>
                </c:pt>
                <c:pt idx="531">
                  <c:v>-36.3960306182638</c:v>
                </c:pt>
                <c:pt idx="532">
                  <c:v>-36.68579407321</c:v>
                </c:pt>
                <c:pt idx="533">
                  <c:v>-36.9778470624734</c:v>
                </c:pt>
                <c:pt idx="534">
                  <c:v>-37.2721975753185</c:v>
                </c:pt>
                <c:pt idx="535">
                  <c:v>-37.5688512159659</c:v>
                </c:pt>
                <c:pt idx="536">
                  <c:v>-37.8678111784219</c:v>
                </c:pt>
                <c:pt idx="537">
                  <c:v>-38.1690782314966</c:v>
                </c:pt>
                <c:pt idx="538">
                  <c:v>-38.472650714138</c:v>
                </c:pt>
                <c:pt idx="539">
                  <c:v>-38.7785245411199</c:v>
                </c:pt>
                <c:pt idx="540">
                  <c:v>-39.0866932190265</c:v>
                </c:pt>
                <c:pt idx="541">
                  <c:v>-39.3971478723869</c:v>
                </c:pt>
              </c:numCache>
            </c:numRef>
          </c:yVal>
          <c:smooth val="1"/>
        </c:ser>
        <c:dLbls>
          <c:showLegendKey val="0"/>
          <c:showVal val="0"/>
          <c:showCatName val="0"/>
          <c:showSerName val="0"/>
          <c:showPercent val="0"/>
          <c:showBubbleSize val="0"/>
        </c:dLbls>
        <c:axId val="175885696"/>
        <c:axId val="175887872"/>
      </c:scatterChart>
      <c:scatterChart>
        <c:scatterStyle val="smooth"/>
        <c:varyColors val="0"/>
        <c:ser>
          <c:idx val="1"/>
          <c:order val="1"/>
          <c:tx>
            <c:strRef>
              <c:f>"Phase (deg)"</c:f>
              <c:strCache>
                <c:ptCount val="1"/>
                <c:pt idx="0">
                  <c:v>Phase (deg)</c:v>
                </c:pt>
              </c:strCache>
            </c:strRef>
          </c:tx>
          <c:spPr>
            <a:ln w="38100" cap="rnd" cmpd="sng" algn="ctr">
              <a:solidFill>
                <a:schemeClr val="tx1">
                  <a:lumMod val="95000"/>
                  <a:lumOff val="5000"/>
                </a:schemeClr>
              </a:solidFill>
              <a:prstDash val="sysDash"/>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Loop_Modeling!$BH$19:$BH$560</c:f>
              <c:numCache>
                <c:formatCode>General</c:formatCode>
                <c:ptCount val="542"/>
                <c:pt idx="0">
                  <c:v>84.4042018112445</c:v>
                </c:pt>
                <c:pt idx="1">
                  <c:v>84.2758427991387</c:v>
                </c:pt>
                <c:pt idx="2">
                  <c:v>84.1446336940738</c:v>
                </c:pt>
                <c:pt idx="3">
                  <c:v>84.0105178517381</c:v>
                </c:pt>
                <c:pt idx="4">
                  <c:v>83.8734379749968</c:v>
                </c:pt>
                <c:pt idx="5">
                  <c:v>83.7333361427967</c:v>
                </c:pt>
                <c:pt idx="6">
                  <c:v>83.5901538424878</c:v>
                </c:pt>
                <c:pt idx="7">
                  <c:v>83.4438320057856</c:v>
                </c:pt>
                <c:pt idx="8">
                  <c:v>83.2943110486172</c:v>
                </c:pt>
                <c:pt idx="9">
                  <c:v>83.1415309151005</c:v>
                </c:pt>
                <c:pt idx="10">
                  <c:v>82.9854311259171</c:v>
                </c:pt>
                <c:pt idx="11">
                  <c:v>82.8259508313533</c:v>
                </c:pt>
                <c:pt idx="12">
                  <c:v>82.6630288692908</c:v>
                </c:pt>
                <c:pt idx="13">
                  <c:v>82.4966038284419</c:v>
                </c:pt>
                <c:pt idx="14">
                  <c:v>82.3266141171344</c:v>
                </c:pt>
                <c:pt idx="15">
                  <c:v>82.1529980379592</c:v>
                </c:pt>
                <c:pt idx="16">
                  <c:v>81.9756938686079</c:v>
                </c:pt>
                <c:pt idx="17">
                  <c:v>81.7946399492292</c:v>
                </c:pt>
                <c:pt idx="18">
                  <c:v>81.6097747766505</c:v>
                </c:pt>
                <c:pt idx="19">
                  <c:v>81.4210371058076</c:v>
                </c:pt>
                <c:pt idx="20">
                  <c:v>81.2283660587419</c:v>
                </c:pt>
                <c:pt idx="21">
                  <c:v>81.0317012415198</c:v>
                </c:pt>
                <c:pt idx="22">
                  <c:v>80.8309828694386</c:v>
                </c:pt>
                <c:pt idx="23">
                  <c:v>80.626151900878</c:v>
                </c:pt>
                <c:pt idx="24">
                  <c:v>80.4171501801637</c:v>
                </c:pt>
                <c:pt idx="25">
                  <c:v>80.2039205897932</c:v>
                </c:pt>
                <c:pt idx="26">
                  <c:v>79.9864072123834</c:v>
                </c:pt>
                <c:pt idx="27">
                  <c:v>79.7645555026708</c:v>
                </c:pt>
                <c:pt idx="28">
                  <c:v>79.5383124699033</c:v>
                </c:pt>
                <c:pt idx="29">
                  <c:v>79.3076268709232</c:v>
                </c:pt>
                <c:pt idx="30">
                  <c:v>79.0724494142394</c:v>
                </c:pt>
                <c:pt idx="31">
                  <c:v>78.8327329753466</c:v>
                </c:pt>
                <c:pt idx="32">
                  <c:v>78.5884328235251</c:v>
                </c:pt>
                <c:pt idx="33">
                  <c:v>78.3395068603135</c:v>
                </c:pt>
                <c:pt idx="34">
                  <c:v>78.08591586981</c:v>
                </c:pt>
                <c:pt idx="35">
                  <c:v>77.8276237808985</c:v>
                </c:pt>
                <c:pt idx="36">
                  <c:v>77.5645979414505</c:v>
                </c:pt>
                <c:pt idx="37">
                  <c:v>77.2968094044803</c:v>
                </c:pt>
                <c:pt idx="38">
                  <c:v>77.024233226166</c:v>
                </c:pt>
                <c:pt idx="39">
                  <c:v>76.7468487755647</c:v>
                </c:pt>
                <c:pt idx="40">
                  <c:v>76.464640055768</c:v>
                </c:pt>
                <c:pt idx="41">
                  <c:v>76.177596036139</c:v>
                </c:pt>
                <c:pt idx="42">
                  <c:v>75.8857109951746</c:v>
                </c:pt>
                <c:pt idx="43">
                  <c:v>75.5889848734181</c:v>
                </c:pt>
                <c:pt idx="44">
                  <c:v>75.2874236357246</c:v>
                </c:pt>
                <c:pt idx="45">
                  <c:v>74.9810396420506</c:v>
                </c:pt>
                <c:pt idx="46">
                  <c:v>74.6698520257993</c:v>
                </c:pt>
                <c:pt idx="47">
                  <c:v>74.3538870786016</c:v>
                </c:pt>
                <c:pt idx="48">
                  <c:v>74.0331786402626</c:v>
                </c:pt>
                <c:pt idx="49">
                  <c:v>73.7077684924361</c:v>
                </c:pt>
                <c:pt idx="50">
                  <c:v>73.3777067544249</c:v>
                </c:pt>
                <c:pt idx="51">
                  <c:v>73.0430522793315</c:v>
                </c:pt>
                <c:pt idx="52">
                  <c:v>72.7038730486111</c:v>
                </c:pt>
                <c:pt idx="53">
                  <c:v>72.3602465628987</c:v>
                </c:pt>
                <c:pt idx="54">
                  <c:v>72.0122602268136</c:v>
                </c:pt>
                <c:pt idx="55">
                  <c:v>71.6600117252676</c:v>
                </c:pt>
                <c:pt idx="56">
                  <c:v>71.3036093886388</c:v>
                </c:pt>
                <c:pt idx="57">
                  <c:v>70.9431725440187</c:v>
                </c:pt>
                <c:pt idx="58">
                  <c:v>70.5788318495866</c:v>
                </c:pt>
                <c:pt idx="59">
                  <c:v>70.2107296090409</c:v>
                </c:pt>
                <c:pt idx="60">
                  <c:v>69.8390200628972</c:v>
                </c:pt>
                <c:pt idx="61">
                  <c:v>69.4638696533707</c:v>
                </c:pt>
                <c:pt idx="62">
                  <c:v>69.0854572594909</c:v>
                </c:pt>
                <c:pt idx="63">
                  <c:v>68.7039743990545</c:v>
                </c:pt>
                <c:pt idx="64">
                  <c:v>68.3196253940114</c:v>
                </c:pt>
                <c:pt idx="65">
                  <c:v>67.932627495897</c:v>
                </c:pt>
                <c:pt idx="66">
                  <c:v>67.5432109679933</c:v>
                </c:pt>
                <c:pt idx="67">
                  <c:v>67.1516191209821</c:v>
                </c:pt>
                <c:pt idx="68">
                  <c:v>66.7581082990153</c:v>
                </c:pt>
                <c:pt idx="69">
                  <c:v>66.3629478132842</c:v>
                </c:pt>
                <c:pt idx="70">
                  <c:v>65.9664198204173</c:v>
                </c:pt>
                <c:pt idx="71">
                  <c:v>65.5688191432894</c:v>
                </c:pt>
                <c:pt idx="72">
                  <c:v>65.1704530321424</c:v>
                </c:pt>
                <c:pt idx="73">
                  <c:v>64.7716408642726</c:v>
                </c:pt>
                <c:pt idx="74">
                  <c:v>64.3727137809301</c:v>
                </c:pt>
                <c:pt idx="75">
                  <c:v>63.9740142605028</c:v>
                </c:pt>
                <c:pt idx="76">
                  <c:v>63.575895627522</c:v>
                </c:pt>
                <c:pt idx="77">
                  <c:v>63.1787214975108</c:v>
                </c:pt>
                <c:pt idx="78">
                  <c:v>62.7828651582109</c:v>
                </c:pt>
                <c:pt idx="79">
                  <c:v>62.3887088882361</c:v>
                </c:pt>
                <c:pt idx="80">
                  <c:v>61.9966432147475</c:v>
                </c:pt>
                <c:pt idx="81">
                  <c:v>61.6070661122641</c:v>
                </c:pt>
                <c:pt idx="82">
                  <c:v>61.220382145254</c:v>
                </c:pt>
                <c:pt idx="83">
                  <c:v>60.8370015576555</c:v>
                </c:pt>
                <c:pt idx="84">
                  <c:v>60.4573393129638</c:v>
                </c:pt>
                <c:pt idx="85">
                  <c:v>60.0818140889702</c:v>
                </c:pt>
                <c:pt idx="86">
                  <c:v>59.7108472316538</c:v>
                </c:pt>
                <c:pt idx="87">
                  <c:v>59.3448616730926</c:v>
                </c:pt>
                <c:pt idx="88">
                  <c:v>58.9842808185774</c:v>
                </c:pt>
                <c:pt idx="89">
                  <c:v>58.6295274083693</c:v>
                </c:pt>
                <c:pt idx="90">
                  <c:v>58.2810223597359</c:v>
                </c:pt>
                <c:pt idx="91">
                  <c:v>57.939183595044</c:v>
                </c:pt>
                <c:pt idx="92">
                  <c:v>57.6044248617424</c:v>
                </c:pt>
                <c:pt idx="93">
                  <c:v>57.2771545500877</c:v>
                </c:pt>
                <c:pt idx="94">
                  <c:v>56.9577745143909</c:v>
                </c:pt>
                <c:pt idx="95">
                  <c:v>56.6466789034583</c:v>
                </c:pt>
                <c:pt idx="96">
                  <c:v>56.344253005709</c:v>
                </c:pt>
                <c:pt idx="97">
                  <c:v>56.0508721142359</c:v>
                </c:pt>
                <c:pt idx="98">
                  <c:v>55.7669004167896</c:v>
                </c:pt>
                <c:pt idx="99">
                  <c:v>55.492689915363</c:v>
                </c:pt>
                <c:pt idx="100">
                  <c:v>55.2285793797043</c:v>
                </c:pt>
                <c:pt idx="101">
                  <c:v>54.9748933387154</c:v>
                </c:pt>
                <c:pt idx="102">
                  <c:v>54.7319411133231</c:v>
                </c:pt>
                <c:pt idx="103">
                  <c:v>54.5000158939966</c:v>
                </c:pt>
                <c:pt idx="104">
                  <c:v>54.2793938657257</c:v>
                </c:pt>
                <c:pt idx="105">
                  <c:v>54.0703333828633</c:v>
                </c:pt>
                <c:pt idx="106">
                  <c:v>53.8730741958923</c:v>
                </c:pt>
                <c:pt idx="107">
                  <c:v>53.6878367318197</c:v>
                </c:pt>
                <c:pt idx="108">
                  <c:v>53.5148214295843</c:v>
                </c:pt>
                <c:pt idx="109">
                  <c:v>53.3542081315771</c:v>
                </c:pt>
                <c:pt idx="110">
                  <c:v>53.2061555321192</c:v>
                </c:pt>
                <c:pt idx="111">
                  <c:v>53.070800683516</c:v>
                </c:pt>
                <c:pt idx="112">
                  <c:v>52.9482585601329</c:v>
                </c:pt>
                <c:pt idx="113">
                  <c:v>52.8386216807738</c:v>
                </c:pt>
                <c:pt idx="114">
                  <c:v>52.7419597895458</c:v>
                </c:pt>
                <c:pt idx="115">
                  <c:v>52.6583195952952</c:v>
                </c:pt>
                <c:pt idx="116">
                  <c:v>52.5877245696557</c:v>
                </c:pt>
                <c:pt idx="117">
                  <c:v>52.5301748037119</c:v>
                </c:pt>
                <c:pt idx="118">
                  <c:v>52.4856469232668</c:v>
                </c:pt>
                <c:pt idx="119">
                  <c:v>52.4540940627123</c:v>
                </c:pt>
                <c:pt idx="120">
                  <c:v>52.4354458974955</c:v>
                </c:pt>
                <c:pt idx="121">
                  <c:v>52.4296087351941</c:v>
                </c:pt>
                <c:pt idx="122">
                  <c:v>52.436465665216</c:v>
                </c:pt>
                <c:pt idx="123">
                  <c:v>52.4558767671243</c:v>
                </c:pt>
                <c:pt idx="124">
                  <c:v>52.4876793775821</c:v>
                </c:pt>
                <c:pt idx="125">
                  <c:v>52.5316884158512</c:v>
                </c:pt>
                <c:pt idx="126">
                  <c:v>52.5876967677184</c:v>
                </c:pt>
                <c:pt idx="127">
                  <c:v>52.6554757276227</c:v>
                </c:pt>
                <c:pt idx="128">
                  <c:v>52.7347754986172</c:v>
                </c:pt>
                <c:pt idx="129">
                  <c:v>52.8253257496417</c:v>
                </c:pt>
                <c:pt idx="130">
                  <c:v>52.9268362293675</c:v>
                </c:pt>
                <c:pt idx="131">
                  <c:v>53.0389974356485</c:v>
                </c:pt>
                <c:pt idx="132">
                  <c:v>53.1614813393279</c:v>
                </c:pt>
                <c:pt idx="133">
                  <c:v>53.2939421608552</c:v>
                </c:pt>
                <c:pt idx="134">
                  <c:v>53.4360171978251</c:v>
                </c:pt>
                <c:pt idx="135">
                  <c:v>53.5873277012061</c:v>
                </c:pt>
                <c:pt idx="136">
                  <c:v>53.7474797976418</c:v>
                </c:pt>
                <c:pt idx="137">
                  <c:v>53.9160654548247</c:v>
                </c:pt>
                <c:pt idx="138">
                  <c:v>54.0926634865621</c:v>
                </c:pt>
                <c:pt idx="139">
                  <c:v>54.2768405937545</c:v>
                </c:pt>
                <c:pt idx="140">
                  <c:v>54.4681524371486</c:v>
                </c:pt>
                <c:pt idx="141">
                  <c:v>54.6661447373594</c:v>
                </c:pt>
                <c:pt idx="142">
                  <c:v>54.8703543973387</c:v>
                </c:pt>
                <c:pt idx="143">
                  <c:v>55.080310642177</c:v>
                </c:pt>
                <c:pt idx="144">
                  <c:v>55.2955361708771</c:v>
                </c:pt>
                <c:pt idx="145">
                  <c:v>55.5155483145376</c:v>
                </c:pt>
                <c:pt idx="146">
                  <c:v>55.7398601952476</c:v>
                </c:pt>
                <c:pt idx="147">
                  <c:v>55.9679818799069</c:v>
                </c:pt>
                <c:pt idx="148">
                  <c:v>56.1994215231659</c:v>
                </c:pt>
                <c:pt idx="149">
                  <c:v>56.4336864937216</c:v>
                </c:pt>
                <c:pt idx="150">
                  <c:v>56.6702844783218</c:v>
                </c:pt>
                <c:pt idx="151">
                  <c:v>56.9087245579942</c:v>
                </c:pt>
                <c:pt idx="152">
                  <c:v>57.1485182512598</c:v>
                </c:pt>
                <c:pt idx="153">
                  <c:v>57.3891805193825</c:v>
                </c:pt>
                <c:pt idx="154">
                  <c:v>57.6302307290589</c:v>
                </c:pt>
                <c:pt idx="155">
                  <c:v>57.8711935683465</c:v>
                </c:pt>
                <c:pt idx="156">
                  <c:v>58.1115999120747</c:v>
                </c:pt>
                <c:pt idx="157">
                  <c:v>58.3509876334584</c:v>
                </c:pt>
                <c:pt idx="158">
                  <c:v>58.5889023591347</c:v>
                </c:pt>
                <c:pt idx="159">
                  <c:v>58.824898165376</c:v>
                </c:pt>
                <c:pt idx="160">
                  <c:v>59.0585382137564</c:v>
                </c:pt>
                <c:pt idx="161">
                  <c:v>59.2893953251024</c:v>
                </c:pt>
                <c:pt idx="162">
                  <c:v>59.5170524910809</c:v>
                </c:pt>
                <c:pt idx="163">
                  <c:v>59.7411033233119</c:v>
                </c:pt>
                <c:pt idx="164">
                  <c:v>59.9611524403938</c:v>
                </c:pt>
                <c:pt idx="165">
                  <c:v>60.1768157937091</c:v>
                </c:pt>
                <c:pt idx="166">
                  <c:v>60.3877209333399</c:v>
                </c:pt>
                <c:pt idx="167">
                  <c:v>60.5935072158275</c:v>
                </c:pt>
                <c:pt idx="168">
                  <c:v>60.7938259559039</c:v>
                </c:pt>
                <c:pt idx="169">
                  <c:v>60.9883405246468</c:v>
                </c:pt>
                <c:pt idx="170">
                  <c:v>61.1767263968297</c:v>
                </c:pt>
                <c:pt idx="171">
                  <c:v>61.3586711504697</c:v>
                </c:pt>
                <c:pt idx="172">
                  <c:v>61.5338744218032</c:v>
                </c:pt>
                <c:pt idx="173">
                  <c:v>61.7020478190831</c:v>
                </c:pt>
                <c:pt idx="174">
                  <c:v>61.862914798712</c:v>
                </c:pt>
                <c:pt idx="175">
                  <c:v>62.016210507326</c:v>
                </c:pt>
                <c:pt idx="176">
                  <c:v>62.1616815934752</c:v>
                </c:pt>
                <c:pt idx="177">
                  <c:v>62.2990859925789</c:v>
                </c:pt>
                <c:pt idx="178">
                  <c:v>62.4281926887997</c:v>
                </c:pt>
                <c:pt idx="179">
                  <c:v>62.5487814574448</c:v>
                </c:pt>
                <c:pt idx="180">
                  <c:v>62.6606425914191</c:v>
                </c:pt>
                <c:pt idx="181">
                  <c:v>62.7635766151708</c:v>
                </c:pt>
                <c:pt idx="182">
                  <c:v>62.857393989439</c:v>
                </c:pt>
                <c:pt idx="183">
                  <c:v>62.9419148099947</c:v>
                </c:pt>
                <c:pt idx="184">
                  <c:v>63.0169685034132</c:v>
                </c:pt>
                <c:pt idx="185">
                  <c:v>63.0823935227603</c:v>
                </c:pt>
                <c:pt idx="186">
                  <c:v>63.1380370459113</c:v>
                </c:pt>
                <c:pt idx="187">
                  <c:v>63.1837546790524</c:v>
                </c:pt>
                <c:pt idx="188">
                  <c:v>63.2194101677395</c:v>
                </c:pt>
                <c:pt idx="189">
                  <c:v>63.244875117713</c:v>
                </c:pt>
                <c:pt idx="190">
                  <c:v>63.2600287274879</c:v>
                </c:pt>
                <c:pt idx="191">
                  <c:v>63.2647575345767</c:v>
                </c:pt>
                <c:pt idx="192">
                  <c:v>63.2589551770099</c:v>
                </c:pt>
                <c:pt idx="193">
                  <c:v>63.2425221716649</c:v>
                </c:pt>
                <c:pt idx="194">
                  <c:v>63.2153657107407</c:v>
                </c:pt>
                <c:pt idx="195">
                  <c:v>63.1773994775517</c:v>
                </c:pt>
                <c:pt idx="196">
                  <c:v>63.1285434826554</c:v>
                </c:pt>
                <c:pt idx="197">
                  <c:v>63.0687239211782</c:v>
                </c:pt>
                <c:pt idx="198">
                  <c:v>62.9978730520392</c:v>
                </c:pt>
                <c:pt idx="199">
                  <c:v>62.9159290996361</c:v>
                </c:pt>
                <c:pt idx="200">
                  <c:v>62.8228361784022</c:v>
                </c:pt>
                <c:pt idx="201">
                  <c:v>62.7185442405007</c:v>
                </c:pt>
                <c:pt idx="202">
                  <c:v>62.6030090467832</c:v>
                </c:pt>
                <c:pt idx="203">
                  <c:v>62.47619216099</c:v>
                </c:pt>
                <c:pt idx="204">
                  <c:v>62.3380609670344</c:v>
                </c:pt>
                <c:pt idx="205">
                  <c:v>62.1885887090675</c:v>
                </c:pt>
                <c:pt idx="206">
                  <c:v>62.0277545538764</c:v>
                </c:pt>
                <c:pt idx="207">
                  <c:v>61.8555436750192</c:v>
                </c:pt>
                <c:pt idx="208">
                  <c:v>61.6719473579591</c:v>
                </c:pt>
                <c:pt idx="209">
                  <c:v>61.476963125301</c:v>
                </c:pt>
                <c:pt idx="210">
                  <c:v>61.2705948810847</c:v>
                </c:pt>
                <c:pt idx="211">
                  <c:v>61.0528530729242</c:v>
                </c:pt>
                <c:pt idx="212">
                  <c:v>60.8237548706311</c:v>
                </c:pt>
                <c:pt idx="213">
                  <c:v>60.5833243597824</c:v>
                </c:pt>
                <c:pt idx="214">
                  <c:v>60.3315927485344</c:v>
                </c:pt>
                <c:pt idx="215">
                  <c:v>60.0685985858106</c:v>
                </c:pt>
                <c:pt idx="216">
                  <c:v>59.7943879888165</c:v>
                </c:pt>
                <c:pt idx="217">
                  <c:v>59.5090148776662</c:v>
                </c:pt>
                <c:pt idx="218">
                  <c:v>59.2125412147281</c:v>
                </c:pt>
                <c:pt idx="219">
                  <c:v>58.9050372461333</c:v>
                </c:pt>
                <c:pt idx="220">
                  <c:v>58.5865817427177</c:v>
                </c:pt>
                <c:pt idx="221">
                  <c:v>58.2572622375118</c:v>
                </c:pt>
                <c:pt idx="222">
                  <c:v>57.9171752567481</c:v>
                </c:pt>
                <c:pt idx="223">
                  <c:v>57.5664265412047</c:v>
                </c:pt>
                <c:pt idx="224">
                  <c:v>57.2051312545849</c:v>
                </c:pt>
                <c:pt idx="225">
                  <c:v>56.8334141755294</c:v>
                </c:pt>
                <c:pt idx="226">
                  <c:v>56.4514098697602</c:v>
                </c:pt>
                <c:pt idx="227">
                  <c:v>56.0592628387989</c:v>
                </c:pt>
                <c:pt idx="228">
                  <c:v>55.6571276416646</c:v>
                </c:pt>
                <c:pt idx="229">
                  <c:v>55.2451689859466</c:v>
                </c:pt>
                <c:pt idx="230">
                  <c:v>54.8235617846827</c:v>
                </c:pt>
                <c:pt idx="231">
                  <c:v>54.3924911755286</c:v>
                </c:pt>
                <c:pt idx="232">
                  <c:v>53.9521524988129</c:v>
                </c:pt>
                <c:pt idx="233">
                  <c:v>53.5027512312196</c:v>
                </c:pt>
                <c:pt idx="234">
                  <c:v>53.0445028720218</c:v>
                </c:pt>
                <c:pt idx="235">
                  <c:v>52.5776327790294</c:v>
                </c:pt>
                <c:pt idx="236">
                  <c:v>52.1023759516938</c:v>
                </c:pt>
                <c:pt idx="237">
                  <c:v>51.6189767591297</c:v>
                </c:pt>
                <c:pt idx="238">
                  <c:v>51.1276886111914</c:v>
                </c:pt>
                <c:pt idx="239">
                  <c:v>50.6287735711504</c:v>
                </c:pt>
                <c:pt idx="240">
                  <c:v>50.1225019089721</c:v>
                </c:pt>
                <c:pt idx="241">
                  <c:v>49.6091515946798</c:v>
                </c:pt>
                <c:pt idx="242">
                  <c:v>49.0890077318169</c:v>
                </c:pt>
                <c:pt idx="243">
                  <c:v>48.5623619315653</c:v>
                </c:pt>
                <c:pt idx="244">
                  <c:v>48.0295116286521</c:v>
                </c:pt>
                <c:pt idx="245">
                  <c:v>47.4907593407517</c:v>
                </c:pt>
                <c:pt idx="246">
                  <c:v>46.9464118736961</c:v>
                </c:pt>
                <c:pt idx="247">
                  <c:v>46.3967794753849</c:v>
                </c:pt>
                <c:pt idx="248">
                  <c:v>45.8421749418714</c:v>
                </c:pt>
                <c:pt idx="249">
                  <c:v>45.2829126796702</c:v>
                </c:pt>
                <c:pt idx="250">
                  <c:v>44.7193077288642</c:v>
                </c:pt>
                <c:pt idx="251">
                  <c:v>44.1516747520964</c:v>
                </c:pt>
                <c:pt idx="252">
                  <c:v>43.5803269949973</c:v>
                </c:pt>
                <c:pt idx="253">
                  <c:v>43.0055752240143</c:v>
                </c:pt>
                <c:pt idx="254">
                  <c:v>42.4277266479641</c:v>
                </c:pt>
                <c:pt idx="255">
                  <c:v>41.8470838299445</c:v>
                </c:pt>
                <c:pt idx="256">
                  <c:v>41.2639435964597</c:v>
                </c:pt>
                <c:pt idx="257">
                  <c:v>40.6785959508047</c:v>
                </c:pt>
                <c:pt idx="258">
                  <c:v>40.0913229978338</c:v>
                </c:pt>
                <c:pt idx="259">
                  <c:v>39.5023978872874</c:v>
                </c:pt>
                <c:pt idx="260">
                  <c:v>38.9120837827941</c:v>
                </c:pt>
                <c:pt idx="261">
                  <c:v>38.3206328635741</c:v>
                </c:pt>
                <c:pt idx="262">
                  <c:v>37.7282853656829</c:v>
                </c:pt>
                <c:pt idx="263">
                  <c:v>37.1352686694092</c:v>
                </c:pt>
                <c:pt idx="264">
                  <c:v>36.541796439137</c:v>
                </c:pt>
                <c:pt idx="265">
                  <c:v>35.9480678216492</c:v>
                </c:pt>
                <c:pt idx="266">
                  <c:v>35.354266708441</c:v>
                </c:pt>
                <c:pt idx="267">
                  <c:v>34.760561067186</c:v>
                </c:pt>
                <c:pt idx="268">
                  <c:v>34.1671023470269</c:v>
                </c:pt>
                <c:pt idx="269">
                  <c:v>33.574024961847</c:v>
                </c:pt>
                <c:pt idx="270">
                  <c:v>32.9814458551697</c:v>
                </c:pt>
                <c:pt idx="271">
                  <c:v>32.3894641497683</c:v>
                </c:pt>
                <c:pt idx="272">
                  <c:v>31.798160884522</c:v>
                </c:pt>
                <c:pt idx="273">
                  <c:v>31.207598840461</c:v>
                </c:pt>
                <c:pt idx="274">
                  <c:v>30.6178224573844</c:v>
                </c:pt>
                <c:pt idx="275">
                  <c:v>30.0288578418292</c:v>
                </c:pt>
                <c:pt idx="276">
                  <c:v>29.4407128665933</c:v>
                </c:pt>
                <c:pt idx="277">
                  <c:v>28.8533773614284</c:v>
                </c:pt>
                <c:pt idx="278">
                  <c:v>28.2668233939259</c:v>
                </c:pt>
                <c:pt idx="279">
                  <c:v>27.681005639047</c:v>
                </c:pt>
                <c:pt idx="280">
                  <c:v>27.0958618351718</c:v>
                </c:pt>
                <c:pt idx="281">
                  <c:v>26.511313323972</c:v>
                </c:pt>
                <c:pt idx="282">
                  <c:v>25.9272656708531</c:v>
                </c:pt>
                <c:pt idx="283">
                  <c:v>25.3436093621655</c:v>
                </c:pt>
                <c:pt idx="284">
                  <c:v>24.7602205748502</c:v>
                </c:pt>
                <c:pt idx="285">
                  <c:v>24.1769620136584</c:v>
                </c:pt>
                <c:pt idx="286">
                  <c:v>23.593683810599</c:v>
                </c:pt>
                <c:pt idx="287">
                  <c:v>23.0102244807821</c:v>
                </c:pt>
                <c:pt idx="288">
                  <c:v>22.4264119283843</c:v>
                </c:pt>
                <c:pt idx="289">
                  <c:v>21.842064496053</c:v>
                </c:pt>
                <c:pt idx="290">
                  <c:v>21.2569920506985</c:v>
                </c:pt>
                <c:pt idx="291">
                  <c:v>20.6709970982942</c:v>
                </c:pt>
                <c:pt idx="292">
                  <c:v>20.0838759200405</c:v>
                </c:pt>
                <c:pt idx="293">
                  <c:v>19.495419722042</c:v>
                </c:pt>
                <c:pt idx="294">
                  <c:v>18.9054157905022</c:v>
                </c:pt>
                <c:pt idx="295">
                  <c:v>18.3136486443751</c:v>
                </c:pt>
                <c:pt idx="296">
                  <c:v>17.7199011774345</c:v>
                </c:pt>
                <c:pt idx="297">
                  <c:v>17.1239557817978</c:v>
                </c:pt>
                <c:pt idx="298">
                  <c:v>16.5255954451535</c:v>
                </c:pt>
                <c:pt idx="299">
                  <c:v>15.9246048141897</c:v>
                </c:pt>
                <c:pt idx="300">
                  <c:v>15.3207712171041</c:v>
                </c:pt>
                <c:pt idx="301">
                  <c:v>14.7138856385224</c:v>
                </c:pt>
                <c:pt idx="302">
                  <c:v>14.1037436406914</c:v>
                </c:pt>
                <c:pt idx="303">
                  <c:v>13.4901462254377</c:v>
                </c:pt>
                <c:pt idx="304">
                  <c:v>12.8729006320748</c:v>
                </c:pt>
                <c:pt idx="305">
                  <c:v>12.2518210672121</c:v>
                </c:pt>
                <c:pt idx="306">
                  <c:v>11.6267293632229</c:v>
                </c:pt>
                <c:pt idx="307">
                  <c:v>10.9974555630004</c:v>
                </c:pt>
                <c:pt idx="308">
                  <c:v>10.3638384295147</c:v>
                </c:pt>
                <c:pt idx="309">
                  <c:v>9.72572587959363</c:v>
                </c:pt>
                <c:pt idx="310">
                  <c:v>9.0829753422575</c:v>
                </c:pt>
                <c:pt idx="311">
                  <c:v>8.43545404283641</c:v>
                </c:pt>
                <c:pt idx="312">
                  <c:v>7.78303921494998</c:v>
                </c:pt>
                <c:pt idx="313">
                  <c:v>7.12561824328046</c:v>
                </c:pt>
                <c:pt idx="314">
                  <c:v>6.46308874079873</c:v>
                </c:pt>
                <c:pt idx="315">
                  <c:v>5.79535856483733</c:v>
                </c:pt>
                <c:pt idx="316">
                  <c:v>5.12234577698996</c:v>
                </c:pt>
                <c:pt idx="317">
                  <c:v>4.44397855235977</c:v>
                </c:pt>
                <c:pt idx="318">
                  <c:v>3.76019504411225</c:v>
                </c:pt>
                <c:pt idx="319">
                  <c:v>3.0709432095952</c:v>
                </c:pt>
                <c:pt idx="320">
                  <c:v>2.37618060452802</c:v>
                </c:pt>
                <c:pt idx="321">
                  <c:v>1.67587415187259</c:v>
                </c:pt>
                <c:pt idx="322">
                  <c:v>0.969999891998253</c:v>
                </c:pt>
                <c:pt idx="323">
                  <c:v>0.258542720659145</c:v>
                </c:pt>
                <c:pt idx="324">
                  <c:v>-0.45850387887823</c:v>
                </c:pt>
                <c:pt idx="325">
                  <c:v>-1.18113810353355</c:v>
                </c:pt>
                <c:pt idx="326">
                  <c:v>-1.90935009225344</c:v>
                </c:pt>
                <c:pt idx="327">
                  <c:v>-2.64312217678628</c:v>
                </c:pt>
                <c:pt idx="328">
                  <c:v>-3.38242911668043</c:v>
                </c:pt>
                <c:pt idx="329">
                  <c:v>-4.12723831437097</c:v>
                </c:pt>
                <c:pt idx="330">
                  <c:v>-4.87751000682717</c:v>
                </c:pt>
                <c:pt idx="331">
                  <c:v>-5.63319743089928</c:v>
                </c:pt>
                <c:pt idx="332">
                  <c:v>-6.39424696015355</c:v>
                </c:pt>
                <c:pt idx="333">
                  <c:v>-7.16059821168357</c:v>
                </c:pt>
                <c:pt idx="334">
                  <c:v>-7.93218412206834</c:v>
                </c:pt>
                <c:pt idx="335">
                  <c:v>-8.70893099233257</c:v>
                </c:pt>
                <c:pt idx="336">
                  <c:v>-9.49075850241074</c:v>
                </c:pt>
                <c:pt idx="337">
                  <c:v>-10.2775796962872</c:v>
                </c:pt>
                <c:pt idx="338">
                  <c:v>-11.0693009395613</c:v>
                </c:pt>
                <c:pt idx="339">
                  <c:v>-11.8658218517688</c:v>
                </c:pt>
                <c:pt idx="340">
                  <c:v>-12.6670352163162</c:v>
                </c:pt>
                <c:pt idx="341">
                  <c:v>-13.4728268713601</c:v>
                </c:pt>
                <c:pt idx="342">
                  <c:v>-14.2830755853666</c:v>
                </c:pt>
                <c:pt idx="343">
                  <c:v>-15.0976529214726</c:v>
                </c:pt>
                <c:pt idx="344">
                  <c:v>-15.9164230950522</c:v>
                </c:pt>
                <c:pt idx="345">
                  <c:v>-16.7392428291355</c:v>
                </c:pt>
                <c:pt idx="346">
                  <c:v>-17.5659612124978</c:v>
                </c:pt>
                <c:pt idx="347">
                  <c:v>-18.3964195653427</c:v>
                </c:pt>
                <c:pt idx="348">
                  <c:v>-19.2304513175336</c:v>
                </c:pt>
                <c:pt idx="349">
                  <c:v>-20.0678819043096</c:v>
                </c:pt>
                <c:pt idx="350">
                  <c:v>-20.908528684311</c:v>
                </c:pt>
                <c:pt idx="351">
                  <c:v>-21.752200884582</c:v>
                </c:pt>
                <c:pt idx="352">
                  <c:v>-22.5986995769961</c:v>
                </c:pt>
                <c:pt idx="353">
                  <c:v>-23.4478176902427</c:v>
                </c:pt>
                <c:pt idx="354">
                  <c:v>-24.299340061187</c:v>
                </c:pt>
                <c:pt idx="355">
                  <c:v>-25.1530435289834</c:v>
                </c:pt>
                <c:pt idx="356">
                  <c:v>-26.0086970748962</c:v>
                </c:pt>
                <c:pt idx="357">
                  <c:v>-26.8660620102489</c:v>
                </c:pt>
                <c:pt idx="358">
                  <c:v>-27.7248922144094</c:v>
                </c:pt>
                <c:pt idx="359">
                  <c:v>-28.5849344241196</c:v>
                </c:pt>
                <c:pt idx="360">
                  <c:v>-29.445928574892</c:v>
                </c:pt>
                <c:pt idx="361">
                  <c:v>-30.3076081945637</c:v>
                </c:pt>
                <c:pt idx="362">
                  <c:v>-31.169700848478</c:v>
                </c:pt>
                <c:pt idx="363">
                  <c:v>-32.0319286351169</c:v>
                </c:pt>
                <c:pt idx="364">
                  <c:v>-32.8940087304</c:v>
                </c:pt>
                <c:pt idx="365">
                  <c:v>-33.7556539782409</c:v>
                </c:pt>
                <c:pt idx="366">
                  <c:v>-34.6165735243787</c:v>
                </c:pt>
                <c:pt idx="367">
                  <c:v>-35.4764734899516</c:v>
                </c:pt>
                <c:pt idx="368">
                  <c:v>-36.3350576807726</c:v>
                </c:pt>
                <c:pt idx="369">
                  <c:v>-37.1920283278137</c:v>
                </c:pt>
                <c:pt idx="370">
                  <c:v>-38.0470868540071</c:v>
                </c:pt>
                <c:pt idx="371">
                  <c:v>-38.899934662144</c:v>
                </c:pt>
                <c:pt idx="372">
                  <c:v>-39.7502739383777</c:v>
                </c:pt>
                <c:pt idx="373">
                  <c:v>-40.5978084656574</c:v>
                </c:pt>
                <c:pt idx="374">
                  <c:v>-41.4422444412955</c:v>
                </c:pt>
                <c:pt idx="375">
                  <c:v>-42.2832912928375</c:v>
                </c:pt>
                <c:pt idx="376">
                  <c:v>-43.1206624864297</c:v>
                </c:pt>
                <c:pt idx="377">
                  <c:v>-43.9540763220086</c:v>
                </c:pt>
                <c:pt idx="378">
                  <c:v>-44.7832567097974</c:v>
                </c:pt>
                <c:pt idx="379">
                  <c:v>-45.6079339228592</c:v>
                </c:pt>
                <c:pt idx="380">
                  <c:v>-46.4278453207584</c:v>
                </c:pt>
                <c:pt idx="381">
                  <c:v>-47.2427360397497</c:v>
                </c:pt>
                <c:pt idx="382">
                  <c:v>-48.0523596453292</c:v>
                </c:pt>
                <c:pt idx="383">
                  <c:v>-48.8564787434303</c:v>
                </c:pt>
                <c:pt idx="384">
                  <c:v>-49.6548655470337</c:v>
                </c:pt>
                <c:pt idx="385">
                  <c:v>-50.447302395469</c:v>
                </c:pt>
                <c:pt idx="386">
                  <c:v>-51.2335822241997</c:v>
                </c:pt>
                <c:pt idx="387">
                  <c:v>-52.0135089834221</c:v>
                </c:pt>
                <c:pt idx="388">
                  <c:v>-52.7868980043167</c:v>
                </c:pt>
                <c:pt idx="389">
                  <c:v>-53.5535763123202</c:v>
                </c:pt>
                <c:pt idx="390">
                  <c:v>-54.3133828872669</c:v>
                </c:pt>
                <c:pt idx="391">
                  <c:v>-55.066168870739</c:v>
                </c:pt>
                <c:pt idx="392">
                  <c:v>-55.8117977213903</c:v>
                </c:pt>
                <c:pt idx="393">
                  <c:v>-56.5501453194335</c:v>
                </c:pt>
                <c:pt idx="394">
                  <c:v>-57.281100021844</c:v>
                </c:pt>
                <c:pt idx="395">
                  <c:v>-58.0045626701744</c:v>
                </c:pt>
                <c:pt idx="396">
                  <c:v>-58.720446553156</c:v>
                </c:pt>
                <c:pt idx="397">
                  <c:v>-59.4286773265205</c:v>
                </c:pt>
                <c:pt idx="398">
                  <c:v>-60.129192892675</c:v>
                </c:pt>
                <c:pt idx="399">
                  <c:v>-60.8219432430271</c:v>
                </c:pt>
                <c:pt idx="400">
                  <c:v>-61.5068902658827</c:v>
                </c:pt>
                <c:pt idx="401">
                  <c:v>-62.184007522914</c:v>
                </c:pt>
                <c:pt idx="402">
                  <c:v>-62.8532799972438</c:v>
                </c:pt>
                <c:pt idx="403">
                  <c:v>-63.5147038162105</c:v>
                </c:pt>
                <c:pt idx="404">
                  <c:v>-64.1682859518405</c:v>
                </c:pt>
                <c:pt idx="405">
                  <c:v>-64.8140439020182</c:v>
                </c:pt>
                <c:pt idx="406">
                  <c:v>-65.4520053552692</c:v>
                </c:pt>
                <c:pt idx="407">
                  <c:v>-66.0822078419613</c:v>
                </c:pt>
                <c:pt idx="408">
                  <c:v>-66.7046983746366</c:v>
                </c:pt>
                <c:pt idx="409">
                  <c:v>-67.3195330800308</c:v>
                </c:pt>
                <c:pt idx="410">
                  <c:v>-67.926776825214</c:v>
                </c:pt>
                <c:pt idx="411">
                  <c:v>-68.5265028401241</c:v>
                </c:pt>
                <c:pt idx="412">
                  <c:v>-69.1187923386045</c:v>
                </c:pt>
                <c:pt idx="413">
                  <c:v>-69.7037341399012</c:v>
                </c:pt>
                <c:pt idx="414">
                  <c:v>-70.2814242924008</c:v>
                </c:pt>
                <c:pt idx="415">
                  <c:v>-70.8519657012334</c:v>
                </c:pt>
                <c:pt idx="416">
                  <c:v>-71.4154677611935</c:v>
                </c:pt>
                <c:pt idx="417">
                  <c:v>-71.9720459962791</c:v>
                </c:pt>
                <c:pt idx="418">
                  <c:v>-72.5218217069878</c:v>
                </c:pt>
                <c:pt idx="419">
                  <c:v>-73.0649216263627</c:v>
                </c:pt>
                <c:pt idx="420">
                  <c:v>-73.6014775856367</c:v>
                </c:pt>
                <c:pt idx="421">
                  <c:v>-74.1316261901897</c:v>
                </c:pt>
                <c:pt idx="422">
                  <c:v>-74.6555085064004</c:v>
                </c:pt>
                <c:pt idx="423">
                  <c:v>-75.1732697598618</c:v>
                </c:pt>
                <c:pt idx="424">
                  <c:v>-75.6850590453118</c:v>
                </c:pt>
                <c:pt idx="425">
                  <c:v>-76.19102904853</c:v>
                </c:pt>
                <c:pt idx="426">
                  <c:v>-76.6913357803561</c:v>
                </c:pt>
                <c:pt idx="427">
                  <c:v>-77.1861383228994</c:v>
                </c:pt>
                <c:pt idx="428">
                  <c:v>-77.6755985879275</c:v>
                </c:pt>
                <c:pt idx="429">
                  <c:v>-78.1598810873563</c:v>
                </c:pt>
                <c:pt idx="430">
                  <c:v>-78.6391527156908</c:v>
                </c:pt>
                <c:pt idx="431">
                  <c:v>-79.1135825442184</c:v>
                </c:pt>
                <c:pt idx="432">
                  <c:v>-79.5833416267014</c:v>
                </c:pt>
                <c:pt idx="433">
                  <c:v>-80.0486028162681</c:v>
                </c:pt>
                <c:pt idx="434">
                  <c:v>-80.5095405931687</c:v>
                </c:pt>
                <c:pt idx="435">
                  <c:v>-80.9663309030271</c:v>
                </c:pt>
                <c:pt idx="436">
                  <c:v>-81.4191510051831</c:v>
                </c:pt>
                <c:pt idx="437">
                  <c:v>-81.8681793307115</c:v>
                </c:pt>
                <c:pt idx="438">
                  <c:v>-82.3135953496632</c:v>
                </c:pt>
                <c:pt idx="439">
                  <c:v>-82.7555794470745</c:v>
                </c:pt>
                <c:pt idx="440">
                  <c:v>-83.1943128072634</c:v>
                </c:pt>
                <c:pt idx="441">
                  <c:v>-83.6299773059304</c:v>
                </c:pt>
                <c:pt idx="442">
                  <c:v>-84.0627554095625</c:v>
                </c:pt>
                <c:pt idx="443">
                  <c:v>-84.492830081643</c:v>
                </c:pt>
                <c:pt idx="444">
                  <c:v>-84.920384695152</c:v>
                </c:pt>
                <c:pt idx="445">
                  <c:v>-85.3456029508521</c:v>
                </c:pt>
                <c:pt idx="446">
                  <c:v>-85.7686688008407</c:v>
                </c:pt>
                <c:pt idx="447">
                  <c:v>-86.1897663768536</c:v>
                </c:pt>
                <c:pt idx="448">
                  <c:v>-86.6090799228033</c:v>
                </c:pt>
                <c:pt idx="449">
                  <c:v>-87.0267937310358</c:v>
                </c:pt>
                <c:pt idx="450">
                  <c:v>-87.443092081788</c:v>
                </c:pt>
                <c:pt idx="451">
                  <c:v>-87.8581591853301</c:v>
                </c:pt>
                <c:pt idx="452">
                  <c:v>-88.2721791262777</c:v>
                </c:pt>
                <c:pt idx="453">
                  <c:v>-88.6853358095591</c:v>
                </c:pt>
                <c:pt idx="454">
                  <c:v>-89.0978129075241</c:v>
                </c:pt>
                <c:pt idx="455">
                  <c:v>-89.5097938076792</c:v>
                </c:pt>
                <c:pt idx="456">
                  <c:v>-89.9214615605401</c:v>
                </c:pt>
                <c:pt idx="457">
                  <c:v>-90.3329988270854</c:v>
                </c:pt>
                <c:pt idx="458">
                  <c:v>-90.7445878253017</c:v>
                </c:pt>
                <c:pt idx="459">
                  <c:v>-91.1564102753062</c:v>
                </c:pt>
                <c:pt idx="460">
                  <c:v>-91.5686473425362</c:v>
                </c:pt>
                <c:pt idx="461">
                  <c:v>-91.9814795784914</c:v>
                </c:pt>
                <c:pt idx="462">
                  <c:v>-92.3950868585164</c:v>
                </c:pt>
                <c:pt idx="463">
                  <c:v>-92.8096483161124</c:v>
                </c:pt>
                <c:pt idx="464">
                  <c:v>-93.2253422732621</c:v>
                </c:pt>
                <c:pt idx="465">
                  <c:v>-93.6423461662572</c:v>
                </c:pt>
                <c:pt idx="466">
                  <c:v>-94.0608364665187</c:v>
                </c:pt>
                <c:pt idx="467">
                  <c:v>-94.4809885958946</c:v>
                </c:pt>
                <c:pt idx="468">
                  <c:v>-94.9029768359345</c:v>
                </c:pt>
                <c:pt idx="469">
                  <c:v>-95.3269742306297</c:v>
                </c:pt>
                <c:pt idx="470">
                  <c:v>-95.7531524821245</c:v>
                </c:pt>
                <c:pt idx="471">
                  <c:v>-96.1816818389036</c:v>
                </c:pt>
                <c:pt idx="472">
                  <c:v>-96.6127309759689</c:v>
                </c:pt>
                <c:pt idx="473">
                  <c:v>-97.0464668665347</c:v>
                </c:pt>
                <c:pt idx="474">
                  <c:v>-97.4830546447756</c:v>
                </c:pt>
                <c:pt idx="475">
                  <c:v>-97.9226574591831</c:v>
                </c:pt>
                <c:pt idx="476">
                  <c:v>-98.3654363161032</c:v>
                </c:pt>
                <c:pt idx="477">
                  <c:v>-98.8115499130503</c:v>
                </c:pt>
                <c:pt idx="478">
                  <c:v>-99.2611544614172</c:v>
                </c:pt>
                <c:pt idx="479">
                  <c:v>-99.7144034982387</c:v>
                </c:pt>
                <c:pt idx="480">
                  <c:v>-100.171447686692</c:v>
                </c:pt>
                <c:pt idx="481">
                  <c:v>-100.63243460507</c:v>
                </c:pt>
                <c:pt idx="482">
                  <c:v>-101.097508523998</c:v>
                </c:pt>
                <c:pt idx="483">
                  <c:v>-101.566810171729</c:v>
                </c:pt>
                <c:pt idx="484">
                  <c:v>-102.040476487415</c:v>
                </c:pt>
                <c:pt idx="485">
                  <c:v>-102.518640362287</c:v>
                </c:pt>
                <c:pt idx="486">
                  <c:v>-103.001430368816</c:v>
                </c:pt>
                <c:pt idx="487">
                  <c:v>-103.488970477927</c:v>
                </c:pt>
                <c:pt idx="488">
                  <c:v>-103.981379764506</c:v>
                </c:pt>
                <c:pt idx="489">
                  <c:v>-104.478772101478</c:v>
                </c:pt>
                <c:pt idx="490">
                  <c:v>-104.981255842889</c:v>
                </c:pt>
                <c:pt idx="491">
                  <c:v>-105.488933496498</c:v>
                </c:pt>
                <c:pt idx="492">
                  <c:v>-106.001901386544</c:v>
                </c:pt>
                <c:pt idx="493">
                  <c:v>-106.520249307466</c:v>
                </c:pt>
                <c:pt idx="494">
                  <c:v>-107.0440601695</c:v>
                </c:pt>
                <c:pt idx="495">
                  <c:v>-107.573409637215</c:v>
                </c:pt>
                <c:pt idx="496">
                  <c:v>-108.108365762227</c:v>
                </c:pt>
                <c:pt idx="497">
                  <c:v>-108.648988611465</c:v>
                </c:pt>
                <c:pt idx="498">
                  <c:v>-109.195329892532</c:v>
                </c:pt>
                <c:pt idx="499">
                  <c:v>-109.747432577892</c:v>
                </c:pt>
                <c:pt idx="500">
                  <c:v>-110.305330529752</c:v>
                </c:pt>
                <c:pt idx="501">
                  <c:v>-110.869048127699</c:v>
                </c:pt>
                <c:pt idx="502">
                  <c:v>-111.438599901321</c:v>
                </c:pt>
                <c:pt idx="503">
                  <c:v>-112.013990170178</c:v>
                </c:pt>
                <c:pt idx="504">
                  <c:v>-112.59521269367</c:v>
                </c:pt>
                <c:pt idx="505">
                  <c:v>-113.182250333493</c:v>
                </c:pt>
                <c:pt idx="506">
                  <c:v>-113.775074731483</c:v>
                </c:pt>
                <c:pt idx="507">
                  <c:v>-114.373646005793</c:v>
                </c:pt>
                <c:pt idx="508">
                  <c:v>-114.977912468428</c:v>
                </c:pt>
                <c:pt idx="509">
                  <c:v>-115.587810367247</c:v>
                </c:pt>
                <c:pt idx="510">
                  <c:v>-116.20326365558</c:v>
                </c:pt>
                <c:pt idx="511">
                  <c:v>-116.824183792642</c:v>
                </c:pt>
                <c:pt idx="512">
                  <c:v>-117.450469577904</c:v>
                </c:pt>
                <c:pt idx="513">
                  <c:v>-118.082007022532</c:v>
                </c:pt>
                <c:pt idx="514">
                  <c:v>-118.718669260931</c:v>
                </c:pt>
                <c:pt idx="515">
                  <c:v>-119.360316505295</c:v>
                </c:pt>
                <c:pt idx="516">
                  <c:v>-120.006796045906</c:v>
                </c:pt>
                <c:pt idx="517">
                  <c:v>-120.657942299703</c:v>
                </c:pt>
                <c:pt idx="518">
                  <c:v>-121.313576909408</c:v>
                </c:pt>
                <c:pt idx="519">
                  <c:v>-121.973508895179</c:v>
                </c:pt>
                <c:pt idx="520">
                  <c:v>-122.637534860432</c:v>
                </c:pt>
                <c:pt idx="521">
                  <c:v>-123.305439253106</c:v>
                </c:pt>
                <c:pt idx="522">
                  <c:v>-123.976994683194</c:v>
                </c:pt>
                <c:pt idx="523">
                  <c:v>-124.651962296967</c:v>
                </c:pt>
                <c:pt idx="524">
                  <c:v>-125.330092207774</c:v>
                </c:pt>
                <c:pt idx="525">
                  <c:v>-126.011123982861</c:v>
                </c:pt>
                <c:pt idx="526">
                  <c:v>-126.694787185088</c:v>
                </c:pt>
                <c:pt idx="527">
                  <c:v>-127.380801967906</c:v>
                </c:pt>
                <c:pt idx="528">
                  <c:v>-128.068879721436</c:v>
                </c:pt>
                <c:pt idx="529">
                  <c:v>-128.758723766935</c:v>
                </c:pt>
                <c:pt idx="530">
                  <c:v>-129.450030096449</c:v>
                </c:pt>
                <c:pt idx="531">
                  <c:v>-130.142488153943</c:v>
                </c:pt>
                <c:pt idx="532">
                  <c:v>-130.835781653734</c:v>
                </c:pt>
                <c:pt idx="533">
                  <c:v>-131.52958943164</c:v>
                </c:pt>
                <c:pt idx="534">
                  <c:v>-132.223586323871</c:v>
                </c:pt>
                <c:pt idx="535">
                  <c:v>-132.917444068366</c:v>
                </c:pt>
                <c:pt idx="536">
                  <c:v>-133.610832223004</c:v>
                </c:pt>
                <c:pt idx="537">
                  <c:v>-134.303419094944</c:v>
                </c:pt>
                <c:pt idx="538">
                  <c:v>-134.994872675161</c:v>
                </c:pt>
                <c:pt idx="539">
                  <c:v>-135.684861572239</c:v>
                </c:pt>
                <c:pt idx="540">
                  <c:v>-136.373055939445</c:v>
                </c:pt>
                <c:pt idx="541">
                  <c:v>-137.059128389208</c:v>
                </c:pt>
              </c:numCache>
            </c:numRef>
          </c:yVal>
          <c:smooth val="1"/>
        </c:ser>
        <c:dLbls>
          <c:showLegendKey val="0"/>
          <c:showVal val="0"/>
          <c:showCatName val="0"/>
          <c:showSerName val="0"/>
          <c:showPercent val="0"/>
          <c:showBubbleSize val="0"/>
        </c:dLbls>
        <c:axId val="175891584"/>
        <c:axId val="175889792"/>
      </c:scatterChart>
      <c:valAx>
        <c:axId val="175885696"/>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887872"/>
        <c:crosses val="autoZero"/>
        <c:crossBetween val="midCat"/>
      </c:valAx>
      <c:valAx>
        <c:axId val="175887872"/>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solidFill>
                      <a:srgbClr val="FF0000"/>
                    </a:solidFill>
                  </a:rPr>
                  <a:t>Gain</a:t>
                </a:r>
                <a:r>
                  <a:rPr lang="en-US" baseline="0">
                    <a:solidFill>
                      <a:srgbClr val="FF0000"/>
                    </a:solidFill>
                  </a:rPr>
                  <a:t> (dB)</a:t>
                </a:r>
                <a:endParaRPr lang="en-US">
                  <a:solidFill>
                    <a:srgbClr val="FF0000"/>
                  </a:solidFill>
                </a:endParaRPr>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rgbClr val="FF0000"/>
                </a:solidFill>
                <a:latin typeface="+mn-lt"/>
                <a:ea typeface="+mn-ea"/>
                <a:cs typeface="+mn-cs"/>
              </a:defRPr>
            </a:pPr>
          </a:p>
        </c:txPr>
        <c:crossAx val="175885696"/>
        <c:crosses val="autoZero"/>
        <c:crossBetween val="midCat"/>
        <c:majorUnit val="20"/>
        <c:minorUnit val="10"/>
      </c:valAx>
      <c:valAx>
        <c:axId val="175891584"/>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889792"/>
        <c:crosses val="autoZero"/>
        <c:crossBetween val="midCat"/>
      </c:valAx>
      <c:valAx>
        <c:axId val="175889792"/>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lumMod val="95000"/>
                    <a:lumOff val="5000"/>
                  </a:schemeClr>
                </a:solidFill>
                <a:latin typeface="+mn-lt"/>
                <a:ea typeface="+mn-ea"/>
                <a:cs typeface="+mn-cs"/>
              </a:defRPr>
            </a:pPr>
          </a:p>
        </c:txPr>
        <c:crossAx val="175891584"/>
        <c:crosses val="max"/>
        <c:crossBetween val="midCat"/>
        <c:majorUnit val="90"/>
        <c:minorUnit val="45"/>
      </c:valAx>
    </c:plotArea>
    <c:plotVisOnly val="1"/>
    <c:dispBlanksAs val="gap"/>
    <c:showDLblsOverMax val="0"/>
    <c:extLst>
      <c:ext uri="{0b15fc19-7d7d-44ad-8c2d-2c3a37ce22c3}">
        <chartProps xmlns="https://web.wps.cn/et/2018/main" chartId="{eacd9145-f186-4656-9553-407a3899a6b8}"/>
      </c:ext>
    </c:extLst>
  </c:chart>
  <c:txPr>
    <a:bodyPr/>
    <a:lstStyle/>
    <a:p>
      <a:pPr>
        <a:defRPr lang="pl-PL"/>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a:t>DCM Plant Transfer</a:t>
            </a:r>
            <a:r>
              <a:rPr lang="en-US" baseline="0"/>
              <a:t> Function</a:t>
            </a:r>
            <a:endParaRPr lang="en-US"/>
          </a:p>
        </c:rich>
      </c:tx>
      <c:layout/>
      <c:overlay val="0"/>
    </c:title>
    <c:autoTitleDeleted val="0"/>
    <c:plotArea>
      <c:layout/>
      <c:scatterChart>
        <c:scatterStyle val="smooth"/>
        <c:varyColors val="0"/>
        <c:ser>
          <c:idx val="0"/>
          <c:order val="0"/>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Loop_Modeling!$AQ$19:$AQ$560</c:f>
              <c:numCache>
                <c:formatCode>General</c:formatCode>
                <c:ptCount val="542"/>
                <c:pt idx="0">
                  <c:v>52.6613369914643</c:v>
                </c:pt>
                <c:pt idx="1">
                  <c:v>52.6590345747203</c:v>
                </c:pt>
                <c:pt idx="2">
                  <c:v>52.656624956234</c:v>
                </c:pt>
                <c:pt idx="3">
                  <c:v>52.6541032083268</c:v>
                </c:pt>
                <c:pt idx="4">
                  <c:v>52.6514641828731</c:v>
                </c:pt>
                <c:pt idx="5">
                  <c:v>52.6487025020138</c:v>
                </c:pt>
                <c:pt idx="6">
                  <c:v>52.645812548534</c:v>
                </c:pt>
                <c:pt idx="7">
                  <c:v>52.6427884558988</c:v>
                </c:pt>
                <c:pt idx="8">
                  <c:v>52.6396240979384</c:v>
                </c:pt>
                <c:pt idx="9">
                  <c:v>52.6363130781798</c:v>
                </c:pt>
                <c:pt idx="10">
                  <c:v>52.6328487188178</c:v>
                </c:pt>
                <c:pt idx="11">
                  <c:v>52.6292240493219</c:v>
                </c:pt>
                <c:pt idx="12">
                  <c:v>52.6254317946751</c:v>
                </c:pt>
                <c:pt idx="13">
                  <c:v>52.621464363243</c:v>
                </c:pt>
                <c:pt idx="14">
                  <c:v>52.61731383427</c:v>
                </c:pt>
                <c:pt idx="15">
                  <c:v>52.6129719450048</c:v>
                </c:pt>
                <c:pt idx="16">
                  <c:v>52.608430077453</c:v>
                </c:pt>
                <c:pt idx="17">
                  <c:v>52.6036792447637</c:v>
                </c:pt>
                <c:pt idx="18">
                  <c:v>52.5987100772503</c:v>
                </c:pt>
                <c:pt idx="19">
                  <c:v>52.5935128080545</c:v>
                </c:pt>
                <c:pt idx="20">
                  <c:v>52.5880772584615</c:v>
                </c:pt>
                <c:pt idx="21">
                  <c:v>52.5823928228758</c:v>
                </c:pt>
                <c:pt idx="22">
                  <c:v>52.5764484534728</c:v>
                </c:pt>
                <c:pt idx="23">
                  <c:v>52.5702326445401</c:v>
                </c:pt>
                <c:pt idx="24">
                  <c:v>52.5637334165301</c:v>
                </c:pt>
                <c:pt idx="25">
                  <c:v>52.5569382998434</c:v>
                </c:pt>
                <c:pt idx="26">
                  <c:v>52.5498343183719</c:v>
                </c:pt>
                <c:pt idx="27">
                  <c:v>52.5424079728289</c:v>
                </c:pt>
                <c:pt idx="28">
                  <c:v>52.5346452239018</c:v>
                </c:pt>
                <c:pt idx="29">
                  <c:v>52.5265314752661</c:v>
                </c:pt>
                <c:pt idx="30">
                  <c:v>52.5180515565022</c:v>
                </c:pt>
                <c:pt idx="31">
                  <c:v>52.5091897059655</c:v>
                </c:pt>
                <c:pt idx="32">
                  <c:v>52.4999295536634</c:v>
                </c:pt>
                <c:pt idx="33">
                  <c:v>52.4902541041981</c:v>
                </c:pt>
                <c:pt idx="34">
                  <c:v>52.4801457198419</c:v>
                </c:pt>
                <c:pt idx="35">
                  <c:v>52.4695861038179</c:v>
                </c:pt>
                <c:pt idx="36">
                  <c:v>52.4585562838645</c:v>
                </c:pt>
                <c:pt idx="37">
                  <c:v>52.4470365961713</c:v>
                </c:pt>
                <c:pt idx="38">
                  <c:v>52.4350066697792</c:v>
                </c:pt>
                <c:pt idx="39">
                  <c:v>52.4224454115479</c:v>
                </c:pt>
                <c:pt idx="40">
                  <c:v>52.4093309917987</c:v>
                </c:pt>
                <c:pt idx="41">
                  <c:v>52.3956408307519</c:v>
                </c:pt>
                <c:pt idx="42">
                  <c:v>52.3813515858846</c:v>
                </c:pt>
                <c:pt idx="43">
                  <c:v>52.3664391403425</c:v>
                </c:pt>
                <c:pt idx="44">
                  <c:v>52.3508785925502</c:v>
                </c:pt>
                <c:pt idx="45">
                  <c:v>52.3346442471705</c:v>
                </c:pt>
                <c:pt idx="46">
                  <c:v>52.3177096075726</c:v>
                </c:pt>
                <c:pt idx="47">
                  <c:v>52.3000473699768</c:v>
                </c:pt>
                <c:pt idx="48">
                  <c:v>52.2816294194512</c:v>
                </c:pt>
                <c:pt idx="49">
                  <c:v>52.2624268279432</c:v>
                </c:pt>
                <c:pt idx="50">
                  <c:v>52.2424098545342</c:v>
                </c:pt>
                <c:pt idx="51">
                  <c:v>52.2215479481133</c:v>
                </c:pt>
                <c:pt idx="52">
                  <c:v>52.1998097526691</c:v>
                </c:pt>
                <c:pt idx="53">
                  <c:v>52.1771631154037</c:v>
                </c:pt>
                <c:pt idx="54">
                  <c:v>52.1535750978745</c:v>
                </c:pt>
                <c:pt idx="55">
                  <c:v>52.1290119903706</c:v>
                </c:pt>
                <c:pt idx="56">
                  <c:v>52.1034393297305</c:v>
                </c:pt>
                <c:pt idx="57">
                  <c:v>52.0768219208044</c:v>
                </c:pt>
                <c:pt idx="58">
                  <c:v>52.0491238617594</c:v>
                </c:pt>
                <c:pt idx="59">
                  <c:v>52.0203085734191</c:v>
                </c:pt>
                <c:pt idx="60">
                  <c:v>51.9903388328203</c:v>
                </c:pt>
                <c:pt idx="61">
                  <c:v>51.9591768111549</c:v>
                </c:pt>
                <c:pt idx="62">
                  <c:v>51.9267841162518</c:v>
                </c:pt>
                <c:pt idx="63">
                  <c:v>51.8931218397335</c:v>
                </c:pt>
                <c:pt idx="64">
                  <c:v>51.8581506089615</c:v>
                </c:pt>
                <c:pt idx="65">
                  <c:v>51.8218306438596</c:v>
                </c:pt>
                <c:pt idx="66">
                  <c:v>51.7841218186731</c:v>
                </c:pt>
                <c:pt idx="67">
                  <c:v>51.7449837286949</c:v>
                </c:pt>
                <c:pt idx="68">
                  <c:v>51.7043757619487</c:v>
                </c:pt>
                <c:pt idx="69">
                  <c:v>51.662257175785</c:v>
                </c:pt>
                <c:pt idx="70">
                  <c:v>51.618587178302</c:v>
                </c:pt>
                <c:pt idx="71">
                  <c:v>51.5733250144576</c:v>
                </c:pt>
                <c:pt idx="72">
                  <c:v>51.526430056696</c:v>
                </c:pt>
                <c:pt idx="73">
                  <c:v>51.4778618998562</c:v>
                </c:pt>
                <c:pt idx="74">
                  <c:v>51.4275804600845</c:v>
                </c:pt>
                <c:pt idx="75">
                  <c:v>51.3755460774169</c:v>
                </c:pt>
                <c:pt idx="76">
                  <c:v>51.3217196216465</c:v>
                </c:pt>
                <c:pt idx="77">
                  <c:v>51.2660626010359</c:v>
                </c:pt>
                <c:pt idx="78">
                  <c:v>51.2085372733848</c:v>
                </c:pt>
                <c:pt idx="79">
                  <c:v>51.1491067589116</c:v>
                </c:pt>
                <c:pt idx="80">
                  <c:v>51.0877351543596</c:v>
                </c:pt>
                <c:pt idx="81">
                  <c:v>51.0243876476953</c:v>
                </c:pt>
                <c:pt idx="82">
                  <c:v>50.9590306327263</c:v>
                </c:pt>
                <c:pt idx="83">
                  <c:v>50.8916318229306</c:v>
                </c:pt>
                <c:pt idx="84">
                  <c:v>50.8221603637619</c:v>
                </c:pt>
                <c:pt idx="85">
                  <c:v>50.7505869426739</c:v>
                </c:pt>
                <c:pt idx="86">
                  <c:v>50.6768838960922</c:v>
                </c:pt>
                <c:pt idx="87">
                  <c:v>50.6010253125588</c:v>
                </c:pt>
                <c:pt idx="88">
                  <c:v>50.5229871312744</c:v>
                </c:pt>
                <c:pt idx="89">
                  <c:v>50.4427472352815</c:v>
                </c:pt>
                <c:pt idx="90">
                  <c:v>50.3602855385491</c:v>
                </c:pt>
                <c:pt idx="91">
                  <c:v>50.275584066254</c:v>
                </c:pt>
                <c:pt idx="92">
                  <c:v>50.1886270275965</c:v>
                </c:pt>
                <c:pt idx="93">
                  <c:v>50.0994008805348</c:v>
                </c:pt>
                <c:pt idx="94">
                  <c:v>50.0078943878876</c:v>
                </c:pt>
                <c:pt idx="95">
                  <c:v>49.9140986643158</c:v>
                </c:pt>
                <c:pt idx="96">
                  <c:v>49.8180072137736</c:v>
                </c:pt>
                <c:pt idx="97">
                  <c:v>49.7196159570972</c:v>
                </c:pt>
                <c:pt idx="98">
                  <c:v>49.6189232494857</c:v>
                </c:pt>
                <c:pt idx="99">
                  <c:v>49.5159298877192</c:v>
                </c:pt>
                <c:pt idx="100">
                  <c:v>49.4106391070493</c:v>
                </c:pt>
                <c:pt idx="101">
                  <c:v>49.3030565677913</c:v>
                </c:pt>
                <c:pt idx="102">
                  <c:v>49.1931903317403</c:v>
                </c:pt>
                <c:pt idx="103">
                  <c:v>49.0810508286209</c:v>
                </c:pt>
                <c:pt idx="104">
                  <c:v>48.9666508128723</c:v>
                </c:pt>
                <c:pt idx="105">
                  <c:v>48.8500053111484</c:v>
                </c:pt>
                <c:pt idx="106">
                  <c:v>48.7311315609942</c:v>
                </c:pt>
                <c:pt idx="107">
                  <c:v>48.610048941225</c:v>
                </c:pt>
                <c:pt idx="108">
                  <c:v>48.4867788946031</c:v>
                </c:pt>
                <c:pt idx="109">
                  <c:v>48.3613448434557</c:v>
                </c:pt>
                <c:pt idx="110">
                  <c:v>48.2337720989254</c:v>
                </c:pt>
                <c:pt idx="111">
                  <c:v>48.1040877645806</c:v>
                </c:pt>
                <c:pt idx="112">
                  <c:v>47.9723206351384</c:v>
                </c:pt>
                <c:pt idx="113">
                  <c:v>47.8385010910673</c:v>
                </c:pt>
                <c:pt idx="114">
                  <c:v>47.7026609898495</c:v>
                </c:pt>
                <c:pt idx="115">
                  <c:v>47.5648335546737</c:v>
                </c:pt>
                <c:pt idx="116">
                  <c:v>47.4250532613249</c:v>
                </c:pt>
                <c:pt idx="117">
                  <c:v>47.2833557240142</c:v>
                </c:pt>
                <c:pt idx="118">
                  <c:v>47.1397775808702</c:v>
                </c:pt>
                <c:pt idx="119">
                  <c:v>46.9943563797777</c:v>
                </c:pt>
                <c:pt idx="120">
                  <c:v>46.8471304652137</c:v>
                </c:pt>
                <c:pt idx="121">
                  <c:v>46.6981388666867</c:v>
                </c:pt>
                <c:pt idx="122">
                  <c:v>46.5474211893404</c:v>
                </c:pt>
                <c:pt idx="123">
                  <c:v>46.3950175072318</c:v>
                </c:pt>
                <c:pt idx="124">
                  <c:v>46.2409682597433</c:v>
                </c:pt>
                <c:pt idx="125">
                  <c:v>46.0853141515352</c:v>
                </c:pt>
                <c:pt idx="126">
                  <c:v>45.9280960563936</c:v>
                </c:pt>
                <c:pt idx="127">
                  <c:v>45.7693549252723</c:v>
                </c:pt>
                <c:pt idx="128">
                  <c:v>45.6091316987804</c:v>
                </c:pt>
                <c:pt idx="129">
                  <c:v>45.4474672243123</c:v>
                </c:pt>
                <c:pt idx="130">
                  <c:v>45.2844021779732</c:v>
                </c:pt>
                <c:pt idx="131">
                  <c:v>45.1199769914031</c:v>
                </c:pt>
                <c:pt idx="132">
                  <c:v>44.9542317835632</c:v>
                </c:pt>
                <c:pt idx="133">
                  <c:v>44.7872062975055</c:v>
                </c:pt>
                <c:pt idx="134">
                  <c:v>44.6189398421137</c:v>
                </c:pt>
                <c:pt idx="135">
                  <c:v>44.4494712387655</c:v>
                </c:pt>
                <c:pt idx="136">
                  <c:v>44.2788387728409</c:v>
                </c:pt>
                <c:pt idx="137">
                  <c:v>44.1070801499724</c:v>
                </c:pt>
                <c:pt idx="138">
                  <c:v>43.9342324569108</c:v>
                </c:pt>
                <c:pt idx="139">
                  <c:v>43.7603321268604</c:v>
                </c:pt>
                <c:pt idx="140">
                  <c:v>43.5854149091205</c:v>
                </c:pt>
                <c:pt idx="141">
                  <c:v>43.4095158428579</c:v>
                </c:pt>
                <c:pt idx="142">
                  <c:v>43.232669234823</c:v>
                </c:pt>
                <c:pt idx="143">
                  <c:v>43.054908640814</c:v>
                </c:pt>
                <c:pt idx="144">
                  <c:v>42.8762668506904</c:v>
                </c:pt>
                <c:pt idx="145">
                  <c:v>42.696775876729</c:v>
                </c:pt>
                <c:pt idx="146">
                  <c:v>42.5164669451201</c:v>
                </c:pt>
                <c:pt idx="147">
                  <c:v>42.3353704903969</c:v>
                </c:pt>
                <c:pt idx="148">
                  <c:v>42.153516152595</c:v>
                </c:pt>
                <c:pt idx="149">
                  <c:v>41.9709327769441</c:v>
                </c:pt>
                <c:pt idx="150">
                  <c:v>41.7876484158939</c:v>
                </c:pt>
                <c:pt idx="151">
                  <c:v>41.6036903332875</c:v>
                </c:pt>
                <c:pt idx="152">
                  <c:v>41.4190850104971</c:v>
                </c:pt>
                <c:pt idx="153">
                  <c:v>41.2338581543462</c:v>
                </c:pt>
                <c:pt idx="154">
                  <c:v>41.0480347066498</c:v>
                </c:pt>
                <c:pt idx="155">
                  <c:v>40.8616388552124</c:v>
                </c:pt>
                <c:pt idx="156">
                  <c:v>40.6746940461308</c:v>
                </c:pt>
                <c:pt idx="157">
                  <c:v>40.4872229972573</c:v>
                </c:pt>
                <c:pt idx="158">
                  <c:v>40.2992477126899</c:v>
                </c:pt>
                <c:pt idx="159">
                  <c:v>40.1107894981601</c:v>
                </c:pt>
                <c:pt idx="160">
                  <c:v>39.9218689772025</c:v>
                </c:pt>
                <c:pt idx="161">
                  <c:v>39.7325061079933</c:v>
                </c:pt>
                <c:pt idx="162">
                  <c:v>39.5427202007591</c:v>
                </c:pt>
                <c:pt idx="163">
                  <c:v>39.3525299356591</c:v>
                </c:pt>
                <c:pt idx="164">
                  <c:v>39.1619533810567</c:v>
                </c:pt>
                <c:pt idx="165">
                  <c:v>38.9710080121003</c:v>
                </c:pt>
                <c:pt idx="166">
                  <c:v>38.7797107295421</c:v>
                </c:pt>
                <c:pt idx="167">
                  <c:v>38.5880778787296</c:v>
                </c:pt>
                <c:pt idx="168">
                  <c:v>38.3961252687124</c:v>
                </c:pt>
                <c:pt idx="169">
                  <c:v>38.2038681914101</c:v>
                </c:pt>
                <c:pt idx="170">
                  <c:v>38.0113214407962</c:v>
                </c:pt>
                <c:pt idx="171">
                  <c:v>37.818499332056</c:v>
                </c:pt>
                <c:pt idx="172">
                  <c:v>37.6254157206828</c:v>
                </c:pt>
                <c:pt idx="173">
                  <c:v>37.4320840214814</c:v>
                </c:pt>
                <c:pt idx="174">
                  <c:v>37.2385172274506</c:v>
                </c:pt>
                <c:pt idx="175">
                  <c:v>37.0447279285248</c:v>
                </c:pt>
                <c:pt idx="176">
                  <c:v>36.850728330153</c:v>
                </c:pt>
                <c:pt idx="177">
                  <c:v>36.656530271702</c:v>
                </c:pt>
                <c:pt idx="178">
                  <c:v>36.4621452446713</c:v>
                </c:pt>
                <c:pt idx="179">
                  <c:v>36.2675844107113</c:v>
                </c:pt>
                <c:pt idx="180">
                  <c:v>36.072858619438</c:v>
                </c:pt>
                <c:pt idx="181">
                  <c:v>35.877978426042</c:v>
                </c:pt>
                <c:pt idx="182">
                  <c:v>35.6829541086902</c:v>
                </c:pt>
                <c:pt idx="183">
                  <c:v>35.4877956857218</c:v>
                </c:pt>
                <c:pt idx="184">
                  <c:v>35.2925129326416</c:v>
                </c:pt>
                <c:pt idx="185">
                  <c:v>35.0971153989158</c:v>
                </c:pt>
                <c:pt idx="186">
                  <c:v>34.901612424577</c:v>
                </c:pt>
                <c:pt idx="187">
                  <c:v>34.706013156647</c:v>
                </c:pt>
                <c:pt idx="188">
                  <c:v>34.5103265653863</c:v>
                </c:pt>
                <c:pt idx="189">
                  <c:v>34.3145614603819</c:v>
                </c:pt>
                <c:pt idx="190">
                  <c:v>34.1187265064846</c:v>
                </c:pt>
                <c:pt idx="191">
                  <c:v>33.9228302396095</c:v>
                </c:pt>
                <c:pt idx="192">
                  <c:v>33.7268810824129</c:v>
                </c:pt>
                <c:pt idx="193">
                  <c:v>33.5308873598602</c:v>
                </c:pt>
                <c:pt idx="194">
                  <c:v>33.3348573147005</c:v>
                </c:pt>
                <c:pt idx="195">
                  <c:v>33.1387991228636</c:v>
                </c:pt>
                <c:pt idx="196">
                  <c:v>32.9427209087955</c:v>
                </c:pt>
                <c:pt idx="197">
                  <c:v>32.746630760749</c:v>
                </c:pt>
                <c:pt idx="198">
                  <c:v>32.5505367460479</c:v>
                </c:pt>
                <c:pt idx="199">
                  <c:v>32.3544469263408</c:v>
                </c:pt>
                <c:pt idx="200">
                  <c:v>32.158369372863</c:v>
                </c:pt>
                <c:pt idx="201">
                  <c:v>31.962312181723</c:v>
                </c:pt>
                <c:pt idx="202">
                  <c:v>31.7662834892354</c:v>
                </c:pt>
                <c:pt idx="203">
                  <c:v>31.5702914873121</c:v>
                </c:pt>
                <c:pt idx="204">
                  <c:v>31.3743444389359</c:v>
                </c:pt>
                <c:pt idx="205">
                  <c:v>31.1784506937291</c:v>
                </c:pt>
                <c:pt idx="206">
                  <c:v>30.9826187036398</c:v>
                </c:pt>
                <c:pt idx="207">
                  <c:v>30.7868570387584</c:v>
                </c:pt>
                <c:pt idx="208">
                  <c:v>30.591174403285</c:v>
                </c:pt>
                <c:pt idx="209">
                  <c:v>30.3955796516627</c:v>
                </c:pt>
                <c:pt idx="210">
                  <c:v>30.2000818048935</c:v>
                </c:pt>
                <c:pt idx="211">
                  <c:v>30.0046900670522</c:v>
                </c:pt>
                <c:pt idx="212">
                  <c:v>29.8094138420141</c:v>
                </c:pt>
                <c:pt idx="213">
                  <c:v>29.614262750409</c:v>
                </c:pt>
                <c:pt idx="214">
                  <c:v>29.4192466468179</c:v>
                </c:pt>
                <c:pt idx="215">
                  <c:v>29.2243756372203</c:v>
                </c:pt>
                <c:pt idx="216">
                  <c:v>29.0296600967088</c:v>
                </c:pt>
                <c:pt idx="217">
                  <c:v>28.8351106874765</c:v>
                </c:pt>
                <c:pt idx="218">
                  <c:v>28.640738377088</c:v>
                </c:pt>
                <c:pt idx="219">
                  <c:v>28.4465544570417</c:v>
                </c:pt>
                <c:pt idx="220">
                  <c:v>28.2525705616269</c:v>
                </c:pt>
                <c:pt idx="221">
                  <c:v>28.0587986870814</c:v>
                </c:pt>
                <c:pt idx="222">
                  <c:v>27.8652512110494</c:v>
                </c:pt>
                <c:pt idx="223">
                  <c:v>27.6719409123407</c:v>
                </c:pt>
                <c:pt idx="224">
                  <c:v>27.4788809909859</c:v>
                </c:pt>
                <c:pt idx="225">
                  <c:v>27.2860850885842</c:v>
                </c:pt>
                <c:pt idx="226">
                  <c:v>27.0935673089324</c:v>
                </c:pt>
                <c:pt idx="227">
                  <c:v>26.9013422389255</c:v>
                </c:pt>
                <c:pt idx="228">
                  <c:v>26.7094249697114</c:v>
                </c:pt>
                <c:pt idx="229">
                  <c:v>26.5178311180818</c:v>
                </c:pt>
                <c:pt idx="230">
                  <c:v>26.3265768480752</c:v>
                </c:pt>
                <c:pt idx="231">
                  <c:v>26.1356788927654</c:v>
                </c:pt>
                <c:pt idx="232">
                  <c:v>25.9451545762021</c:v>
                </c:pt>
                <c:pt idx="233">
                  <c:v>25.7550218354665</c:v>
                </c:pt>
                <c:pt idx="234">
                  <c:v>25.565299242801</c:v>
                </c:pt>
                <c:pt idx="235">
                  <c:v>25.3760060277623</c:v>
                </c:pt>
                <c:pt idx="236">
                  <c:v>25.187162099346</c:v>
                </c:pt>
                <c:pt idx="237">
                  <c:v>24.9987880680207</c:v>
                </c:pt>
                <c:pt idx="238">
                  <c:v>24.8109052676057</c:v>
                </c:pt>
                <c:pt idx="239">
                  <c:v>24.6235357769168</c:v>
                </c:pt>
                <c:pt idx="240">
                  <c:v>24.4367024411016</c:v>
                </c:pt>
                <c:pt idx="241">
                  <c:v>24.2504288925714</c:v>
                </c:pt>
                <c:pt idx="242">
                  <c:v>24.0647395714379</c:v>
                </c:pt>
                <c:pt idx="243">
                  <c:v>23.8796597453457</c:v>
                </c:pt>
                <c:pt idx="244">
                  <c:v>23.695215528591</c:v>
                </c:pt>
                <c:pt idx="245">
                  <c:v>23.511433900404</c:v>
                </c:pt>
                <c:pt idx="246">
                  <c:v>23.3283427222648</c:v>
                </c:pt>
                <c:pt idx="247">
                  <c:v>23.1459707541175</c:v>
                </c:pt>
                <c:pt idx="248">
                  <c:v>22.9643476693331</c:v>
                </c:pt>
                <c:pt idx="249">
                  <c:v>22.7835040682698</c:v>
                </c:pt>
                <c:pt idx="250">
                  <c:v>22.6034714902667</c:v>
                </c:pt>
                <c:pt idx="251">
                  <c:v>22.4242824239026</c:v>
                </c:pt>
                <c:pt idx="252">
                  <c:v>22.2459703153429</c:v>
                </c:pt>
                <c:pt idx="253">
                  <c:v>22.0685695745926</c:v>
                </c:pt>
                <c:pt idx="254">
                  <c:v>21.892115579467</c:v>
                </c:pt>
                <c:pt idx="255">
                  <c:v>21.7166446770879</c:v>
                </c:pt>
                <c:pt idx="256">
                  <c:v>21.5421941827105</c:v>
                </c:pt>
                <c:pt idx="257">
                  <c:v>21.3688023756827</c:v>
                </c:pt>
                <c:pt idx="258">
                  <c:v>21.1965084923408</c:v>
                </c:pt>
                <c:pt idx="259">
                  <c:v>21.0253527156445</c:v>
                </c:pt>
                <c:pt idx="260">
                  <c:v>20.8553761613583</c:v>
                </c:pt>
                <c:pt idx="261">
                  <c:v>20.6866208605958</c:v>
                </c:pt>
                <c:pt idx="262">
                  <c:v>20.5191297385438</c:v>
                </c:pt>
                <c:pt idx="263">
                  <c:v>20.3529465892022</c:v>
                </c:pt>
                <c:pt idx="264">
                  <c:v>20.1881160459838</c:v>
                </c:pt>
                <c:pt idx="265">
                  <c:v>20.0246835480362</c:v>
                </c:pt>
                <c:pt idx="266">
                  <c:v>19.8626953021674</c:v>
                </c:pt>
                <c:pt idx="267">
                  <c:v>19.7021982402797</c:v>
                </c:pt>
                <c:pt idx="268">
                  <c:v>19.5432399722428</c:v>
                </c:pt>
                <c:pt idx="269">
                  <c:v>19.3858687341646</c:v>
                </c:pt>
                <c:pt idx="270">
                  <c:v>19.2301333320532</c:v>
                </c:pt>
                <c:pt idx="271">
                  <c:v>19.0760830808966</c:v>
                </c:pt>
                <c:pt idx="272">
                  <c:v>18.9237677392295</c:v>
                </c:pt>
                <c:pt idx="273">
                  <c:v>18.7732374392934</c:v>
                </c:pt>
                <c:pt idx="274">
                  <c:v>18.6245426129443</c:v>
                </c:pt>
                <c:pt idx="275">
                  <c:v>18.4777339135071</c:v>
                </c:pt>
                <c:pt idx="276">
                  <c:v>18.332862133825</c:v>
                </c:pt>
                <c:pt idx="277">
                  <c:v>18.1899781208002</c:v>
                </c:pt>
                <c:pt idx="278">
                  <c:v>18.0491326867742</c:v>
                </c:pt>
                <c:pt idx="279">
                  <c:v>17.9103765181453</c:v>
                </c:pt>
                <c:pt idx="280">
                  <c:v>17.7737600816686</c:v>
                </c:pt>
                <c:pt idx="281">
                  <c:v>17.6393335289359</c:v>
                </c:pt>
                <c:pt idx="282">
                  <c:v>17.5071465995722</c:v>
                </c:pt>
                <c:pt idx="283">
                  <c:v>17.3772485237329</c:v>
                </c:pt>
                <c:pt idx="284">
                  <c:v>17.2496879245191</c:v>
                </c:pt>
                <c:pt idx="285">
                  <c:v>17.124512720964</c:v>
                </c:pt>
                <c:pt idx="286">
                  <c:v>17.0017700322674</c:v>
                </c:pt>
                <c:pt idx="287">
                  <c:v>16.8815060839761</c:v>
                </c:pt>
                <c:pt idx="288">
                  <c:v>16.7637661168185</c:v>
                </c:pt>
                <c:pt idx="289">
                  <c:v>16.6485942989061</c:v>
                </c:pt>
                <c:pt idx="290">
                  <c:v>16.536033642007</c:v>
                </c:pt>
                <c:pt idx="291">
                  <c:v>16.4261259225837</c:v>
                </c:pt>
                <c:pt idx="292">
                  <c:v>16.31891160826</c:v>
                </c:pt>
                <c:pt idx="293">
                  <c:v>16.2144297903476</c:v>
                </c:pt>
                <c:pt idx="294">
                  <c:v>16.1127181230191</c:v>
                </c:pt>
                <c:pt idx="295">
                  <c:v>16.0138127696587</c:v>
                </c:pt>
                <c:pt idx="296">
                  <c:v>15.9177483568587</c:v>
                </c:pt>
                <c:pt idx="297">
                  <c:v>15.8245579364566</c:v>
                </c:pt>
                <c:pt idx="298">
                  <c:v>15.7342729559308</c:v>
                </c:pt>
                <c:pt idx="299">
                  <c:v>15.6469232373831</c:v>
                </c:pt>
                <c:pt idx="300">
                  <c:v>15.5625369652459</c:v>
                </c:pt>
                <c:pt idx="301">
                  <c:v>15.4811406827552</c:v>
                </c:pt>
                <c:pt idx="302">
                  <c:v>15.4027592971333</c:v>
                </c:pt>
                <c:pt idx="303">
                  <c:v>15.3274160933194</c:v>
                </c:pt>
                <c:pt idx="304">
                  <c:v>15.255132755995</c:v>
                </c:pt>
                <c:pt idx="305">
                  <c:v>15.1859293995416</c:v>
                </c:pt>
                <c:pt idx="306">
                  <c:v>15.1198246054836</c:v>
                </c:pt>
                <c:pt idx="307">
                  <c:v>15.0568354668712</c:v>
                </c:pt>
                <c:pt idx="308">
                  <c:v>14.9969776389785</c:v>
                </c:pt>
                <c:pt idx="309">
                  <c:v>14.9402653956139</c:v>
                </c:pt>
                <c:pt idx="310">
                  <c:v>14.886711690271</c:v>
                </c:pt>
                <c:pt idx="311">
                  <c:v>14.8363282212942</c:v>
                </c:pt>
                <c:pt idx="312">
                  <c:v>14.7891255001798</c:v>
                </c:pt>
                <c:pt idx="313">
                  <c:v>14.7451129221028</c:v>
                </c:pt>
                <c:pt idx="314">
                  <c:v>14.7042988377319</c:v>
                </c:pt>
                <c:pt idx="315">
                  <c:v>14.6666906253844</c:v>
                </c:pt>
                <c:pt idx="316">
                  <c:v>14.632294762571</c:v>
                </c:pt>
                <c:pt idx="317">
                  <c:v>14.6011168959952</c:v>
                </c:pt>
                <c:pt idx="318">
                  <c:v>14.5731619090927</c:v>
                </c:pt>
                <c:pt idx="319">
                  <c:v>14.5484339862334</c:v>
                </c:pt>
                <c:pt idx="320">
                  <c:v>14.5269366727549</c:v>
                </c:pt>
                <c:pt idx="321">
                  <c:v>14.5086729300507</c:v>
                </c:pt>
                <c:pt idx="322">
                  <c:v>14.4936451850066</c:v>
                </c:pt>
                <c:pt idx="323">
                  <c:v>14.4818553731466</c:v>
                </c:pt>
                <c:pt idx="324">
                  <c:v>14.4733049749396</c:v>
                </c:pt>
                <c:pt idx="325">
                  <c:v>14.4679950447987</c:v>
                </c:pt>
                <c:pt idx="326">
                  <c:v>14.4659262324064</c:v>
                </c:pt>
                <c:pt idx="327">
                  <c:v>14.4670987960915</c:v>
                </c:pt>
                <c:pt idx="328">
                  <c:v>14.4715126080885</c:v>
                </c:pt>
                <c:pt idx="329">
                  <c:v>14.4791671516135</c:v>
                </c:pt>
                <c:pt idx="330">
                  <c:v>14.4900615097921</c:v>
                </c:pt>
                <c:pt idx="331">
                  <c:v>14.5041943465832</c:v>
                </c:pt>
                <c:pt idx="332">
                  <c:v>14.5215638799408</c:v>
                </c:pt>
                <c:pt idx="333">
                  <c:v>14.542167847558</c:v>
                </c:pt>
                <c:pt idx="334">
                  <c:v>14.5660034656305</c:v>
                </c:pt>
                <c:pt idx="335">
                  <c:v>14.5930673811694</c:v>
                </c:pt>
                <c:pt idx="336">
                  <c:v>14.6233556184759</c:v>
                </c:pt>
                <c:pt idx="337">
                  <c:v>14.6568635204667</c:v>
                </c:pt>
                <c:pt idx="338">
                  <c:v>14.6935856856085</c:v>
                </c:pt>
                <c:pt idx="339">
                  <c:v>14.7335159012788</c:v>
                </c:pt>
                <c:pt idx="340">
                  <c:v>14.7766470744178</c:v>
                </c:pt>
                <c:pt idx="341">
                  <c:v>14.8229711603777</c:v>
                </c:pt>
                <c:pt idx="342">
                  <c:v>14.8724790909002</c:v>
                </c:pt>
                <c:pt idx="343">
                  <c:v>14.9251607021682</c:v>
                </c:pt>
                <c:pt idx="344">
                  <c:v>14.9810046638836</c:v>
                </c:pt>
                <c:pt idx="345">
                  <c:v>15.0399984103122</c:v>
                </c:pt>
                <c:pt idx="346">
                  <c:v>15.1021280742135</c:v>
                </c:pt>
                <c:pt idx="347">
                  <c:v>15.1673784245471</c:v>
                </c:pt>
                <c:pt idx="348">
                  <c:v>15.2357328087949</c:v>
                </c:pt>
                <c:pt idx="349">
                  <c:v>15.3071731006892</c:v>
                </c:pt>
                <c:pt idx="350">
                  <c:v>15.3816796540681</c:v>
                </c:pt>
                <c:pt idx="351">
                  <c:v>15.4592312635086</c:v>
                </c:pt>
                <c:pt idx="352">
                  <c:v>15.5398051323016</c:v>
                </c:pt>
                <c:pt idx="353">
                  <c:v>15.6233768482491</c:v>
                </c:pt>
                <c:pt idx="354">
                  <c:v>15.7099203676651</c:v>
                </c:pt>
                <c:pt idx="355">
                  <c:v>15.799408007869</c:v>
                </c:pt>
                <c:pt idx="356">
                  <c:v>15.8918104483559</c:v>
                </c:pt>
                <c:pt idx="357">
                  <c:v>15.9870967407301</c:v>
                </c:pt>
                <c:pt idx="358">
                  <c:v>16.0852343273904</c:v>
                </c:pt>
                <c:pt idx="359">
                  <c:v>16.1861890688528</c:v>
                </c:pt>
                <c:pt idx="360">
                  <c:v>16.2899252795087</c:v>
                </c:pt>
                <c:pt idx="361">
                  <c:v>16.3964057715265</c:v>
                </c:pt>
                <c:pt idx="362">
                  <c:v>16.5055919065214</c:v>
                </c:pt>
                <c:pt idx="363">
                  <c:v>16.6174436545451</c:v>
                </c:pt>
                <c:pt idx="364">
                  <c:v>16.7319196598819</c:v>
                </c:pt>
                <c:pt idx="365">
                  <c:v>16.8489773130796</c:v>
                </c:pt>
                <c:pt idx="366">
                  <c:v>16.9685728285944</c:v>
                </c:pt>
                <c:pt idx="367">
                  <c:v>17.0906613273967</c:v>
                </c:pt>
                <c:pt idx="368">
                  <c:v>17.2151969238491</c:v>
                </c:pt>
                <c:pt idx="369">
                  <c:v>17.3421328161571</c:v>
                </c:pt>
                <c:pt idx="370">
                  <c:v>17.471421379681</c:v>
                </c:pt>
                <c:pt idx="371">
                  <c:v>17.6030142623968</c:v>
                </c:pt>
                <c:pt idx="372">
                  <c:v>17.7368624818081</c:v>
                </c:pt>
                <c:pt idx="373">
                  <c:v>17.8729165226228</c:v>
                </c:pt>
                <c:pt idx="374">
                  <c:v>18.011126434537</c:v>
                </c:pt>
                <c:pt idx="375">
                  <c:v>18.1514419294969</c:v>
                </c:pt>
                <c:pt idx="376">
                  <c:v>18.2938124778461</c:v>
                </c:pt>
                <c:pt idx="377">
                  <c:v>18.4381874028091</c:v>
                </c:pt>
                <c:pt idx="378">
                  <c:v>18.5845159727997</c:v>
                </c:pt>
                <c:pt idx="379">
                  <c:v>18.7327474910998</c:v>
                </c:pt>
                <c:pt idx="380">
                  <c:v>18.8828313824927</c:v>
                </c:pt>
                <c:pt idx="381">
                  <c:v>19.0347172764931</c:v>
                </c:pt>
                <c:pt idx="382">
                  <c:v>19.1883550868623</c:v>
                </c:pt>
                <c:pt idx="383">
                  <c:v>19.3436950871462</c:v>
                </c:pt>
                <c:pt idx="384">
                  <c:v>19.5006879820268</c:v>
                </c:pt>
                <c:pt idx="385">
                  <c:v>19.6592849743187</c:v>
                </c:pt>
                <c:pt idx="386">
                  <c:v>19.8194378274934</c:v>
                </c:pt>
                <c:pt idx="387">
                  <c:v>19.9810989236514</c:v>
                </c:pt>
                <c:pt idx="388">
                  <c:v>20.1442213169058</c:v>
                </c:pt>
                <c:pt idx="389">
                  <c:v>20.3087587821759</c:v>
                </c:pt>
                <c:pt idx="390">
                  <c:v>20.4746658594212</c:v>
                </c:pt>
                <c:pt idx="391">
                  <c:v>20.6418978933822</c:v>
                </c:pt>
                <c:pt idx="392">
                  <c:v>20.8104110689135</c:v>
                </c:pt>
                <c:pt idx="393">
                  <c:v>20.9801624420253</c:v>
                </c:pt>
                <c:pt idx="394">
                  <c:v>21.1511099667653</c:v>
                </c:pt>
                <c:pt idx="395">
                  <c:v>21.3232125180923</c:v>
                </c:pt>
                <c:pt idx="396">
                  <c:v>21.4964299109088</c:v>
                </c:pt>
                <c:pt idx="397">
                  <c:v>21.6707229154251</c:v>
                </c:pt>
                <c:pt idx="398">
                  <c:v>21.8460532690459</c:v>
                </c:pt>
                <c:pt idx="399">
                  <c:v>22.0223836849673</c:v>
                </c:pt>
                <c:pt idx="400">
                  <c:v>22.1996778576832</c:v>
                </c:pt>
                <c:pt idx="401">
                  <c:v>22.3779004655975</c:v>
                </c:pt>
                <c:pt idx="402">
                  <c:v>22.5570171709437</c:v>
                </c:pt>
                <c:pt idx="403">
                  <c:v>22.7369946172057</c:v>
                </c:pt>
                <c:pt idx="404">
                  <c:v>22.9178004242384</c:v>
                </c:pt>
                <c:pt idx="405">
                  <c:v>23.0994031812758</c:v>
                </c:pt>
                <c:pt idx="406">
                  <c:v>23.2817724380132</c:v>
                </c:pt>
                <c:pt idx="407">
                  <c:v>23.4648786939447</c:v>
                </c:pt>
                <c:pt idx="408">
                  <c:v>23.6486933861284</c:v>
                </c:pt>
                <c:pt idx="409">
                  <c:v>23.8331888755425</c:v>
                </c:pt>
                <c:pt idx="410">
                  <c:v>24.0183384321959</c:v>
                </c:pt>
                <c:pt idx="411">
                  <c:v>24.2041162191402</c:v>
                </c:pt>
                <c:pt idx="412">
                  <c:v>24.3904972755248</c:v>
                </c:pt>
                <c:pt idx="413">
                  <c:v>24.5774574988326</c:v>
                </c:pt>
                <c:pt idx="414">
                  <c:v>24.7649736264176</c:v>
                </c:pt>
                <c:pt idx="415">
                  <c:v>24.9530232164655</c:v>
                </c:pt>
                <c:pt idx="416">
                  <c:v>25.1415846284848</c:v>
                </c:pt>
                <c:pt idx="417">
                  <c:v>25.3306370034293</c:v>
                </c:pt>
                <c:pt idx="418">
                  <c:v>25.5201602435481</c:v>
                </c:pt>
                <c:pt idx="419">
                  <c:v>25.7101349920456</c:v>
                </c:pt>
                <c:pt idx="420">
                  <c:v>25.900542612634</c:v>
                </c:pt>
                <c:pt idx="421">
                  <c:v>26.0913651690473</c:v>
                </c:pt>
                <c:pt idx="422">
                  <c:v>26.2825854045849</c:v>
                </c:pt>
                <c:pt idx="423">
                  <c:v>26.4741867217408</c:v>
                </c:pt>
                <c:pt idx="424">
                  <c:v>26.6661531619756</c:v>
                </c:pt>
                <c:pt idx="425">
                  <c:v>26.8584693856745</c:v>
                </c:pt>
                <c:pt idx="426">
                  <c:v>27.0511206523365</c:v>
                </c:pt>
                <c:pt idx="427">
                  <c:v>27.2440928010322</c:v>
                </c:pt>
                <c:pt idx="428">
                  <c:v>27.4373722311617</c:v>
                </c:pt>
                <c:pt idx="429">
                  <c:v>27.6309458835414</c:v>
                </c:pt>
                <c:pt idx="430">
                  <c:v>27.8248012218451</c:v>
                </c:pt>
                <c:pt idx="431">
                  <c:v>28.0189262144202</c:v>
                </c:pt>
                <c:pt idx="432">
                  <c:v>28.2133093164957</c:v>
                </c:pt>
                <c:pt idx="433">
                  <c:v>28.407939452797</c:v>
                </c:pt>
                <c:pt idx="434">
                  <c:v>28.6028060005795</c:v>
                </c:pt>
                <c:pt idx="435">
                  <c:v>28.7978987730895</c:v>
                </c:pt>
                <c:pt idx="436">
                  <c:v>28.9932080034585</c:v>
                </c:pt>
                <c:pt idx="437">
                  <c:v>29.1887243290376</c:v>
                </c:pt>
                <c:pt idx="438">
                  <c:v>29.3844387761716</c:v>
                </c:pt>
                <c:pt idx="439">
                  <c:v>29.5803427454157</c:v>
                </c:pt>
                <c:pt idx="440">
                  <c:v>29.7764279971942</c:v>
                </c:pt>
                <c:pt idx="441">
                  <c:v>29.9726866378971</c:v>
                </c:pt>
                <c:pt idx="442">
                  <c:v>30.1691111064141</c:v>
                </c:pt>
                <c:pt idx="443">
                  <c:v>30.3656941610993</c:v>
                </c:pt>
                <c:pt idx="444">
                  <c:v>30.5624288671617</c:v>
                </c:pt>
                <c:pt idx="445">
                  <c:v>30.7593085844766</c:v>
                </c:pt>
                <c:pt idx="446">
                  <c:v>30.9563269558094</c:v>
                </c:pt>
                <c:pt idx="447">
                  <c:v>31.153477895445</c:v>
                </c:pt>
                <c:pt idx="448">
                  <c:v>31.3507555782147</c:v>
                </c:pt>
                <c:pt idx="449">
                  <c:v>31.5481544289117</c:v>
                </c:pt>
                <c:pt idx="450">
                  <c:v>31.7456691120868</c:v>
                </c:pt>
                <c:pt idx="451">
                  <c:v>31.9432945222153</c:v>
                </c:pt>
                <c:pt idx="452">
                  <c:v>32.1410257742251</c:v>
                </c:pt>
                <c:pt idx="453">
                  <c:v>32.3388581943761</c:v>
                </c:pt>
                <c:pt idx="454">
                  <c:v>32.536787311484</c:v>
                </c:pt>
                <c:pt idx="455">
                  <c:v>32.7348088484736</c:v>
                </c:pt>
                <c:pt idx="456">
                  <c:v>32.9329187142584</c:v>
                </c:pt>
                <c:pt idx="457">
                  <c:v>33.1311129959303</c:v>
                </c:pt>
                <c:pt idx="458">
                  <c:v>33.3293879512544</c:v>
                </c:pt>
                <c:pt idx="459">
                  <c:v>33.5277400014582</c:v>
                </c:pt>
                <c:pt idx="460">
                  <c:v>33.7261657243027</c:v>
                </c:pt>
                <c:pt idx="461">
                  <c:v>33.924661847431</c:v>
                </c:pt>
                <c:pt idx="462">
                  <c:v>34.123225241981</c:v>
                </c:pt>
                <c:pt idx="463">
                  <c:v>34.3218529164558</c:v>
                </c:pt>
                <c:pt idx="464">
                  <c:v>34.5205420108403</c:v>
                </c:pt>
                <c:pt idx="465">
                  <c:v>34.7192897909584</c:v>
                </c:pt>
                <c:pt idx="466">
                  <c:v>34.9180936430592</c:v>
                </c:pt>
                <c:pt idx="467">
                  <c:v>35.1169510686261</c:v>
                </c:pt>
                <c:pt idx="468">
                  <c:v>35.3158596793991</c:v>
                </c:pt>
                <c:pt idx="469">
                  <c:v>35.5148171926039</c:v>
                </c:pt>
                <c:pt idx="470">
                  <c:v>35.7138214263781</c:v>
                </c:pt>
                <c:pt idx="471">
                  <c:v>35.9128702953892</c:v>
                </c:pt>
                <c:pt idx="472">
                  <c:v>36.1119618066355</c:v>
                </c:pt>
                <c:pt idx="473">
                  <c:v>36.3110940554232</c:v>
                </c:pt>
                <c:pt idx="474">
                  <c:v>36.5102652215133</c:v>
                </c:pt>
                <c:pt idx="475">
                  <c:v>36.7094735654319</c:v>
                </c:pt>
                <c:pt idx="476">
                  <c:v>36.9087174249354</c:v>
                </c:pt>
                <c:pt idx="477">
                  <c:v>37.1079952116279</c:v>
                </c:pt>
                <c:pt idx="478">
                  <c:v>37.307305407721</c:v>
                </c:pt>
                <c:pt idx="479">
                  <c:v>37.5066465629338</c:v>
                </c:pt>
                <c:pt idx="480">
                  <c:v>37.7060172915244</c:v>
                </c:pt>
                <c:pt idx="481">
                  <c:v>37.9054162694495</c:v>
                </c:pt>
                <c:pt idx="482">
                  <c:v>38.1048422316458</c:v>
                </c:pt>
                <c:pt idx="483">
                  <c:v>38.3042939694296</c:v>
                </c:pt>
                <c:pt idx="484">
                  <c:v>38.5037703280074</c:v>
                </c:pt>
                <c:pt idx="485">
                  <c:v>38.7032702040955</c:v>
                </c:pt>
                <c:pt idx="486">
                  <c:v>38.9027925436421</c:v>
                </c:pt>
                <c:pt idx="487">
                  <c:v>39.1023363396489</c:v>
                </c:pt>
                <c:pt idx="488">
                  <c:v>39.3019006300868</c:v>
                </c:pt>
                <c:pt idx="489">
                  <c:v>39.5014844959032</c:v>
                </c:pt>
                <c:pt idx="490">
                  <c:v>39.7010870591158</c:v>
                </c:pt>
                <c:pt idx="491">
                  <c:v>39.90070748099</c:v>
                </c:pt>
                <c:pt idx="492">
                  <c:v>40.1003449602958</c:v>
                </c:pt>
                <c:pt idx="493">
                  <c:v>40.2999987316413</c:v>
                </c:pt>
                <c:pt idx="494">
                  <c:v>40.4996680638797</c:v>
                </c:pt>
                <c:pt idx="495">
                  <c:v>40.6993522585851</c:v>
                </c:pt>
                <c:pt idx="496">
                  <c:v>40.8990506485966</c:v>
                </c:pt>
                <c:pt idx="497">
                  <c:v>41.0987625966259</c:v>
                </c:pt>
                <c:pt idx="498">
                  <c:v>41.2984874939265</c:v>
                </c:pt>
                <c:pt idx="499">
                  <c:v>41.4982247590211</c:v>
                </c:pt>
                <c:pt idx="500">
                  <c:v>41.6979738364865</c:v>
                </c:pt>
                <c:pt idx="501">
                  <c:v>41.8977341957895</c:v>
                </c:pt>
                <c:pt idx="502">
                  <c:v>42.0975053301782</c:v>
                </c:pt>
                <c:pt idx="503">
                  <c:v>42.2972867556185</c:v>
                </c:pt>
                <c:pt idx="504">
                  <c:v>42.4970780097807</c:v>
                </c:pt>
                <c:pt idx="505">
                  <c:v>42.696878651069</c:v>
                </c:pt>
                <c:pt idx="506">
                  <c:v>42.896688257695</c:v>
                </c:pt>
                <c:pt idx="507">
                  <c:v>43.0965064267922</c:v>
                </c:pt>
                <c:pt idx="508">
                  <c:v>43.2963327735698</c:v>
                </c:pt>
                <c:pt idx="509">
                  <c:v>43.4961669305046</c:v>
                </c:pt>
                <c:pt idx="510">
                  <c:v>43.6960085465669</c:v>
                </c:pt>
                <c:pt idx="511">
                  <c:v>43.8958572864843</c:v>
                </c:pt>
                <c:pt idx="512">
                  <c:v>44.0957128300344</c:v>
                </c:pt>
                <c:pt idx="513">
                  <c:v>44.2955748713719</c:v>
                </c:pt>
                <c:pt idx="514">
                  <c:v>44.4954431183847</c:v>
                </c:pt>
                <c:pt idx="515">
                  <c:v>44.6953172920778</c:v>
                </c:pt>
                <c:pt idx="516">
                  <c:v>44.8951971259866</c:v>
                </c:pt>
                <c:pt idx="517">
                  <c:v>45.0950823656145</c:v>
                </c:pt>
                <c:pt idx="518">
                  <c:v>45.2949727678966</c:v>
                </c:pt>
                <c:pt idx="519">
                  <c:v>45.4948681006876</c:v>
                </c:pt>
                <c:pt idx="520">
                  <c:v>45.6947681422716</c:v>
                </c:pt>
                <c:pt idx="521">
                  <c:v>45.8946726808945</c:v>
                </c:pt>
                <c:pt idx="522">
                  <c:v>46.0945815143174</c:v>
                </c:pt>
                <c:pt idx="523">
                  <c:v>46.294494449389</c:v>
                </c:pt>
                <c:pt idx="524">
                  <c:v>46.4944113016388</c:v>
                </c:pt>
                <c:pt idx="525">
                  <c:v>46.6943318948871</c:v>
                </c:pt>
                <c:pt idx="526">
                  <c:v>46.8942560608726</c:v>
                </c:pt>
                <c:pt idx="527">
                  <c:v>47.0941836388971</c:v>
                </c:pt>
                <c:pt idx="528">
                  <c:v>47.2941144754863</c:v>
                </c:pt>
                <c:pt idx="529">
                  <c:v>47.4940484240652</c:v>
                </c:pt>
                <c:pt idx="530">
                  <c:v>47.6939853446483</c:v>
                </c:pt>
                <c:pt idx="531">
                  <c:v>47.8939251035438</c:v>
                </c:pt>
                <c:pt idx="532">
                  <c:v>48.0938675730706</c:v>
                </c:pt>
                <c:pt idx="533">
                  <c:v>48.2938126312887</c:v>
                </c:pt>
                <c:pt idx="534">
                  <c:v>48.4937601617412</c:v>
                </c:pt>
                <c:pt idx="535">
                  <c:v>48.6937100532079</c:v>
                </c:pt>
                <c:pt idx="536">
                  <c:v>48.8936621994699</c:v>
                </c:pt>
                <c:pt idx="537">
                  <c:v>49.0936164990853</c:v>
                </c:pt>
                <c:pt idx="538">
                  <c:v>49.2935728551742</c:v>
                </c:pt>
                <c:pt idx="539">
                  <c:v>49.4935311752136</c:v>
                </c:pt>
                <c:pt idx="540">
                  <c:v>49.6934913708419</c:v>
                </c:pt>
                <c:pt idx="541">
                  <c:v>49.8934533576717</c:v>
                </c:pt>
              </c:numCache>
            </c:numRef>
          </c:yVal>
          <c:smooth val="1"/>
        </c:ser>
        <c:dLbls>
          <c:showLegendKey val="0"/>
          <c:showVal val="0"/>
          <c:showCatName val="0"/>
          <c:showSerName val="0"/>
          <c:showPercent val="0"/>
          <c:showBubbleSize val="0"/>
        </c:dLbls>
        <c:axId val="178856704"/>
        <c:axId val="178858624"/>
      </c:scatterChart>
      <c:scatterChart>
        <c:scatterStyle val="smooth"/>
        <c:varyColors val="0"/>
        <c:ser>
          <c:idx val="1"/>
          <c:order val="1"/>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Loop_Modeling!$AR$19:$AR$560</c:f>
              <c:numCache>
                <c:formatCode>General</c:formatCode>
                <c:ptCount val="542"/>
                <c:pt idx="0">
                  <c:v>-6.04872823521983</c:v>
                </c:pt>
                <c:pt idx="1">
                  <c:v>-6.18851833238279</c:v>
                </c:pt>
                <c:pt idx="2">
                  <c:v>-6.3314864514434</c:v>
                </c:pt>
                <c:pt idx="3">
                  <c:v>-6.47770112471478</c:v>
                </c:pt>
                <c:pt idx="4">
                  <c:v>-6.6272320991098</c:v>
                </c:pt>
                <c:pt idx="5">
                  <c:v>-6.78015033846332</c:v>
                </c:pt>
                <c:pt idx="6">
                  <c:v>-6.93652802420778</c:v>
                </c:pt>
                <c:pt idx="7">
                  <c:v>-7.09643855426087</c:v>
                </c:pt>
                <c:pt idx="8">
                  <c:v>-7.25995653997573</c:v>
                </c:pt>
                <c:pt idx="9">
                  <c:v>-7.42715780099332</c:v>
                </c:pt>
                <c:pt idx="10">
                  <c:v>-7.59811935782931</c:v>
                </c:pt>
                <c:pt idx="11">
                  <c:v>-7.77291942201679</c:v>
                </c:pt>
                <c:pt idx="12">
                  <c:v>-7.95163738361687</c:v>
                </c:pt>
                <c:pt idx="13">
                  <c:v>-8.13435379589897</c:v>
                </c:pt>
                <c:pt idx="14">
                  <c:v>-8.32115035698081</c:v>
                </c:pt>
                <c:pt idx="15">
                  <c:v>-8.51210988821034</c:v>
                </c:pt>
                <c:pt idx="16">
                  <c:v>-8.70731630905565</c:v>
                </c:pt>
                <c:pt idx="17">
                  <c:v>-8.90685460826385</c:v>
                </c:pt>
                <c:pt idx="18">
                  <c:v>-9.11081081103336</c:v>
                </c:pt>
                <c:pt idx="19">
                  <c:v>-9.31927194193526</c:v>
                </c:pt>
                <c:pt idx="20">
                  <c:v>-9.5323259833069</c:v>
                </c:pt>
                <c:pt idx="21">
                  <c:v>-9.75006182883043</c:v>
                </c:pt>
                <c:pt idx="22">
                  <c:v>-9.97256923199585</c:v>
                </c:pt>
                <c:pt idx="23">
                  <c:v>-10.1999387491394</c:v>
                </c:pt>
                <c:pt idx="24">
                  <c:v>-10.4322616767352</c:v>
                </c:pt>
                <c:pt idx="25">
                  <c:v>-10.6696299826097</c:v>
                </c:pt>
                <c:pt idx="26">
                  <c:v>-10.9121362307366</c:v>
                </c:pt>
                <c:pt idx="27">
                  <c:v>-11.1598734992642</c:v>
                </c:pt>
                <c:pt idx="28">
                  <c:v>-11.4129352914157</c:v>
                </c:pt>
                <c:pt idx="29">
                  <c:v>-11.6714154388997</c:v>
                </c:pt>
                <c:pt idx="30">
                  <c:v>-11.9354079974589</c:v>
                </c:pt>
                <c:pt idx="31">
                  <c:v>-12.2050071341859</c:v>
                </c:pt>
                <c:pt idx="32">
                  <c:v>-12.4803070062276</c:v>
                </c:pt>
                <c:pt idx="33">
                  <c:v>-12.7614016305059</c:v>
                </c:pt>
                <c:pt idx="34">
                  <c:v>-13.0483847440793</c:v>
                </c:pt>
                <c:pt idx="35">
                  <c:v>-13.3413496547793</c:v>
                </c:pt>
                <c:pt idx="36">
                  <c:v>-13.6403890817622</c:v>
                </c:pt>
                <c:pt idx="37">
                  <c:v>-13.9455949856298</c:v>
                </c:pt>
                <c:pt idx="38">
                  <c:v>-14.2570583877864</c:v>
                </c:pt>
                <c:pt idx="39">
                  <c:v>-14.5748691787221</c:v>
                </c:pt>
                <c:pt idx="40">
                  <c:v>-14.8991159149344</c:v>
                </c:pt>
                <c:pt idx="41">
                  <c:v>-15.2298856042327</c:v>
                </c:pt>
                <c:pt idx="42">
                  <c:v>-15.5672634792006</c:v>
                </c:pt>
                <c:pt idx="43">
                  <c:v>-15.9113327586388</c:v>
                </c:pt>
                <c:pt idx="44">
                  <c:v>-16.2621743968525</c:v>
                </c:pt>
                <c:pt idx="45">
                  <c:v>-16.6198668207057</c:v>
                </c:pt>
                <c:pt idx="46">
                  <c:v>-16.9844856544224</c:v>
                </c:pt>
                <c:pt idx="47">
                  <c:v>-17.3561034321895</c:v>
                </c:pt>
                <c:pt idx="48">
                  <c:v>-17.7347892986864</c:v>
                </c:pt>
                <c:pt idx="49">
                  <c:v>-18.1206086977553</c:v>
                </c:pt>
                <c:pt idx="50">
                  <c:v>-18.5136230495208</c:v>
                </c:pt>
                <c:pt idx="51">
                  <c:v>-18.9138894163643</c:v>
                </c:pt>
                <c:pt idx="52">
                  <c:v>-19.3214601582764</c:v>
                </c:pt>
                <c:pt idx="53">
                  <c:v>-19.7363825782231</c:v>
                </c:pt>
                <c:pt idx="54">
                  <c:v>-20.1586985582947</c:v>
                </c:pt>
                <c:pt idx="55">
                  <c:v>-20.5884441875386</c:v>
                </c:pt>
                <c:pt idx="56">
                  <c:v>-21.0256493825224</c:v>
                </c:pt>
                <c:pt idx="57">
                  <c:v>-21.4703375018221</c:v>
                </c:pt>
                <c:pt idx="58">
                  <c:v>-21.9225249557914</c:v>
                </c:pt>
                <c:pt idx="59">
                  <c:v>-22.3822208131223</c:v>
                </c:pt>
                <c:pt idx="60">
                  <c:v>-22.8494264058791</c:v>
                </c:pt>
                <c:pt idx="61">
                  <c:v>-23.3241349348528</c:v>
                </c:pt>
                <c:pt idx="62">
                  <c:v>-23.8063310772504</c:v>
                </c:pt>
                <c:pt idx="63">
                  <c:v>-24.2959905989002</c:v>
                </c:pt>
                <c:pt idx="64">
                  <c:v>-24.7930799733199</c:v>
                </c:pt>
                <c:pt idx="65">
                  <c:v>-25.2975560101457</c:v>
                </c:pt>
                <c:pt idx="66">
                  <c:v>-25.8093654955726</c:v>
                </c:pt>
                <c:pt idx="67">
                  <c:v>-26.3284448475914</c:v>
                </c:pt>
                <c:pt idx="68">
                  <c:v>-26.8547197889229</c:v>
                </c:pt>
                <c:pt idx="69">
                  <c:v>-27.3881050406637</c:v>
                </c:pt>
                <c:pt idx="70">
                  <c:v>-27.9285040397247</c:v>
                </c:pt>
                <c:pt idx="71">
                  <c:v>-28.4758086832139</c:v>
                </c:pt>
                <c:pt idx="72">
                  <c:v>-29.0298991029322</c:v>
                </c:pt>
                <c:pt idx="73">
                  <c:v>-29.5906434731544</c:v>
                </c:pt>
                <c:pt idx="74">
                  <c:v>-30.1578978548258</c:v>
                </c:pt>
                <c:pt idx="75">
                  <c:v>-30.7315060792368</c:v>
                </c:pt>
                <c:pt idx="76">
                  <c:v>-31.3112996741134</c:v>
                </c:pt>
                <c:pt idx="77">
                  <c:v>-31.8970978349191</c:v>
                </c:pt>
                <c:pt idx="78">
                  <c:v>-32.4887074439548</c:v>
                </c:pt>
                <c:pt idx="79">
                  <c:v>-33.0859231396105</c:v>
                </c:pt>
                <c:pt idx="80">
                  <c:v>-33.6885274378325</c:v>
                </c:pt>
                <c:pt idx="81">
                  <c:v>-34.2962909075463</c:v>
                </c:pt>
                <c:pt idx="82">
                  <c:v>-34.9089724014055</c:v>
                </c:pt>
                <c:pt idx="83">
                  <c:v>-35.5263193428339</c:v>
                </c:pt>
                <c:pt idx="84">
                  <c:v>-36.1480680698812</c:v>
                </c:pt>
                <c:pt idx="85">
                  <c:v>-36.7739442359497</c:v>
                </c:pt>
                <c:pt idx="86">
                  <c:v>-37.403663266944</c:v>
                </c:pt>
                <c:pt idx="87">
                  <c:v>-38.0369308738831</c:v>
                </c:pt>
                <c:pt idx="88">
                  <c:v>-38.6734436194905</c:v>
                </c:pt>
                <c:pt idx="89">
                  <c:v>-39.3128895367336</c:v>
                </c:pt>
                <c:pt idx="90">
                  <c:v>-39.9549487967645</c:v>
                </c:pt>
                <c:pt idx="91">
                  <c:v>-40.5992944231851</c:v>
                </c:pt>
                <c:pt idx="92">
                  <c:v>-41.2455930490664</c:v>
                </c:pt>
                <c:pt idx="93">
                  <c:v>-41.8935057126755</c:v>
                </c:pt>
                <c:pt idx="94">
                  <c:v>-42.5426886874292</c:v>
                </c:pt>
                <c:pt idx="95">
                  <c:v>-43.1927943412009</c:v>
                </c:pt>
                <c:pt idx="96">
                  <c:v>-43.8434720197666</c:v>
                </c:pt>
                <c:pt idx="97">
                  <c:v>-44.4943689488906</c:v>
                </c:pt>
                <c:pt idx="98">
                  <c:v>-45.1451311493297</c:v>
                </c:pt>
                <c:pt idx="99">
                  <c:v>-45.7954043588839</c:v>
                </c:pt>
                <c:pt idx="100">
                  <c:v>-46.4448349555287</c:v>
                </c:pt>
                <c:pt idx="101">
                  <c:v>-47.0930708756636</c:v>
                </c:pt>
                <c:pt idx="102">
                  <c:v>-47.7397625215465</c:v>
                </c:pt>
                <c:pt idx="103">
                  <c:v>-48.3845636521465</c:v>
                </c:pt>
                <c:pt idx="104">
                  <c:v>-49.027132251803</c:v>
                </c:pt>
                <c:pt idx="105">
                  <c:v>-49.6671313713791</c:v>
                </c:pt>
                <c:pt idx="106">
                  <c:v>-50.3042299368868</c:v>
                </c:pt>
                <c:pt idx="107">
                  <c:v>-50.9381035209513</c:v>
                </c:pt>
                <c:pt idx="108">
                  <c:v>-51.5684350729018</c:v>
                </c:pt>
                <c:pt idx="109">
                  <c:v>-52.1949156037264</c:v>
                </c:pt>
                <c:pt idx="110">
                  <c:v>-52.8172448226256</c:v>
                </c:pt>
                <c:pt idx="111">
                  <c:v>-53.4351317224139</c:v>
                </c:pt>
                <c:pt idx="112">
                  <c:v>-54.0482951115385</c:v>
                </c:pt>
                <c:pt idx="113">
                  <c:v>-54.6564640910288</c:v>
                </c:pt>
                <c:pt idx="114">
                  <c:v>-55.2593784752059</c:v>
                </c:pt>
                <c:pt idx="115">
                  <c:v>-55.8567891555253</c:v>
                </c:pt>
                <c:pt idx="116">
                  <c:v>-56.4484584074033</c:v>
                </c:pt>
                <c:pt idx="117">
                  <c:v>-57.0341601403889</c:v>
                </c:pt>
                <c:pt idx="118">
                  <c:v>-57.6136800924674</c:v>
                </c:pt>
                <c:pt idx="119">
                  <c:v>-58.1868159697288</c:v>
                </c:pt>
                <c:pt idx="120">
                  <c:v>-58.7533775329915</c:v>
                </c:pt>
                <c:pt idx="121">
                  <c:v>-59.313186633339</c:v>
                </c:pt>
                <c:pt idx="122">
                  <c:v>-59.8660771988035</c:v>
                </c:pt>
                <c:pt idx="123">
                  <c:v>-60.4118951747109</c:v>
                </c:pt>
                <c:pt idx="124">
                  <c:v>-60.9504984203977</c:v>
                </c:pt>
                <c:pt idx="125">
                  <c:v>-61.4817565651938</c:v>
                </c:pt>
                <c:pt idx="126">
                  <c:v>-62.0055508266856</c:v>
                </c:pt>
                <c:pt idx="127">
                  <c:v>-62.5217737943712</c:v>
                </c:pt>
                <c:pt idx="128">
                  <c:v>-63.030329181863</c:v>
                </c:pt>
                <c:pt idx="129">
                  <c:v>-63.5311315508155</c:v>
                </c:pt>
                <c:pt idx="130">
                  <c:v>-64.0241060097332</c:v>
                </c:pt>
                <c:pt idx="131">
                  <c:v>-64.509187890774</c:v>
                </c:pt>
                <c:pt idx="132">
                  <c:v>-64.9863224075863</c:v>
                </c:pt>
                <c:pt idx="133">
                  <c:v>-65.4554642971254</c:v>
                </c:pt>
                <c:pt idx="134">
                  <c:v>-65.9165774482813</c:v>
                </c:pt>
                <c:pt idx="135">
                  <c:v>-66.3696345200173</c:v>
                </c:pt>
                <c:pt idx="136">
                  <c:v>-66.8146165515776</c:v>
                </c:pt>
                <c:pt idx="137">
                  <c:v>-67.2515125671691</c:v>
                </c:pt>
                <c:pt idx="138">
                  <c:v>-67.6803191773573</c:v>
                </c:pt>
                <c:pt idx="139">
                  <c:v>-68.1010401792602</c:v>
                </c:pt>
                <c:pt idx="140">
                  <c:v>-68.5136861574416</c:v>
                </c:pt>
                <c:pt idx="141">
                  <c:v>-68.9182740872567</c:v>
                </c:pt>
                <c:pt idx="142">
                  <c:v>-69.3148269422166</c:v>
                </c:pt>
                <c:pt idx="143">
                  <c:v>-69.703373306791</c:v>
                </c:pt>
                <c:pt idx="144">
                  <c:v>-70.0839469959003</c:v>
                </c:pt>
                <c:pt idx="145">
                  <c:v>-70.4565866822001</c:v>
                </c:pt>
                <c:pt idx="146">
                  <c:v>-70.8213355321129</c:v>
                </c:pt>
                <c:pt idx="147">
                  <c:v>-71.1782408514255</c:v>
                </c:pt>
                <c:pt idx="148">
                  <c:v>-71.5273537411353</c:v>
                </c:pt>
                <c:pt idx="149">
                  <c:v>-71.8687287641134</c:v>
                </c:pt>
                <c:pt idx="150">
                  <c:v>-72.20242362303</c:v>
                </c:pt>
                <c:pt idx="151">
                  <c:v>-72.5284988498905</c:v>
                </c:pt>
                <c:pt idx="152">
                  <c:v>-72.8470175074277</c:v>
                </c:pt>
                <c:pt idx="153">
                  <c:v>-73.1580449025117</c:v>
                </c:pt>
                <c:pt idx="154">
                  <c:v>-73.4616483116558</c:v>
                </c:pt>
                <c:pt idx="155">
                  <c:v>-73.7578967186293</c:v>
                </c:pt>
                <c:pt idx="156">
                  <c:v>-74.0468605641189</c:v>
                </c:pt>
                <c:pt idx="157">
                  <c:v>-74.3286115073277</c:v>
                </c:pt>
                <c:pt idx="158">
                  <c:v>-74.6032221993495</c:v>
                </c:pt>
                <c:pt idx="159">
                  <c:v>-74.8707660681126</c:v>
                </c:pt>
                <c:pt idx="160">
                  <c:v>-75.1313171146524</c:v>
                </c:pt>
                <c:pt idx="161">
                  <c:v>-75.384949720436</c:v>
                </c:pt>
                <c:pt idx="162">
                  <c:v>-75.6317384654423</c:v>
                </c:pt>
                <c:pt idx="163">
                  <c:v>-75.8717579566755</c:v>
                </c:pt>
                <c:pt idx="164">
                  <c:v>-76.105082666772</c:v>
                </c:pt>
                <c:pt idx="165">
                  <c:v>-76.3317867823544</c:v>
                </c:pt>
                <c:pt idx="166">
                  <c:v>-76.5519440617673</c:v>
                </c:pt>
                <c:pt idx="167">
                  <c:v>-76.7656277018352</c:v>
                </c:pt>
                <c:pt idx="168">
                  <c:v>-76.9729102132674</c:v>
                </c:pt>
                <c:pt idx="169">
                  <c:v>-77.1738633043463</c:v>
                </c:pt>
                <c:pt idx="170">
                  <c:v>-77.368557772527</c:v>
                </c:pt>
                <c:pt idx="171">
                  <c:v>-77.5570634035892</c:v>
                </c:pt>
                <c:pt idx="172">
                  <c:v>-77.7394488779796</c:v>
                </c:pt>
                <c:pt idx="173">
                  <c:v>-77.9157816839967</c:v>
                </c:pt>
                <c:pt idx="174">
                  <c:v>-78.0861280374755</c:v>
                </c:pt>
                <c:pt idx="175">
                  <c:v>-78.2505528076385</c:v>
                </c:pt>
                <c:pt idx="176">
                  <c:v>-78.4091194487906</c:v>
                </c:pt>
                <c:pt idx="177">
                  <c:v>-78.5618899375498</c:v>
                </c:pt>
                <c:pt idx="178">
                  <c:v>-78.7089247153104</c:v>
                </c:pt>
                <c:pt idx="179">
                  <c:v>-78.8502826356552</c:v>
                </c:pt>
                <c:pt idx="180">
                  <c:v>-78.9860209164409</c:v>
                </c:pt>
                <c:pt idx="181">
                  <c:v>-79.1161950962967</c:v>
                </c:pt>
                <c:pt idx="182">
                  <c:v>-79.2408589952869</c:v>
                </c:pt>
                <c:pt idx="183">
                  <c:v>-79.3600646795042</c:v>
                </c:pt>
                <c:pt idx="184">
                  <c:v>-79.4738624293724</c:v>
                </c:pt>
                <c:pt idx="185">
                  <c:v>-79.5823007114484</c:v>
                </c:pt>
                <c:pt idx="186">
                  <c:v>-79.6854261535332</c:v>
                </c:pt>
                <c:pt idx="187">
                  <c:v>-79.7832835229059</c:v>
                </c:pt>
                <c:pt idx="188">
                  <c:v>-79.875915707516</c:v>
                </c:pt>
                <c:pt idx="189">
                  <c:v>-79.9633636999779</c:v>
                </c:pt>
                <c:pt idx="190">
                  <c:v>-80.0456665842249</c:v>
                </c:pt>
                <c:pt idx="191">
                  <c:v>-80.1228615246942</c:v>
                </c:pt>
                <c:pt idx="192">
                  <c:v>-80.1949837579258</c:v>
                </c:pt>
                <c:pt idx="193">
                  <c:v>-80.2620665864707</c:v>
                </c:pt>
                <c:pt idx="194">
                  <c:v>-80.3241413750181</c:v>
                </c:pt>
                <c:pt idx="195">
                  <c:v>-80.3812375486597</c:v>
                </c:pt>
                <c:pt idx="196">
                  <c:v>-80.4333825932254</c:v>
                </c:pt>
                <c:pt idx="197">
                  <c:v>-80.4806020576342</c:v>
                </c:pt>
                <c:pt idx="198">
                  <c:v>-80.5229195582161</c:v>
                </c:pt>
                <c:pt idx="199">
                  <c:v>-80.5603567849747</c:v>
                </c:pt>
                <c:pt idx="200">
                  <c:v>-80.5929335097683</c:v>
                </c:pt>
                <c:pt idx="201">
                  <c:v>-80.6206675964031</c:v>
                </c:pt>
                <c:pt idx="202">
                  <c:v>-80.64357501264</c:v>
                </c:pt>
                <c:pt idx="203">
                  <c:v>-80.6616698441317</c:v>
                </c:pt>
                <c:pt idx="204">
                  <c:v>-80.6749643103146</c:v>
                </c:pt>
                <c:pt idx="205">
                  <c:v>-80.6834687822962</c:v>
                </c:pt>
                <c:pt idx="206">
                  <c:v>-80.6871918027852</c:v>
                </c:pt>
                <c:pt idx="207">
                  <c:v>-80.686140108129</c:v>
                </c:pt>
                <c:pt idx="208">
                  <c:v>-80.6803186525295</c:v>
                </c:pt>
                <c:pt idx="209">
                  <c:v>-80.6697306345251</c:v>
                </c:pt>
                <c:pt idx="210">
                  <c:v>-80.654377525835</c:v>
                </c:pt>
                <c:pt idx="211">
                  <c:v>-80.6342591026757</c:v>
                </c:pt>
                <c:pt idx="212">
                  <c:v>-80.609373479673</c:v>
                </c:pt>
                <c:pt idx="213">
                  <c:v>-80.5797171465023</c:v>
                </c:pt>
                <c:pt idx="214">
                  <c:v>-80.5452850074055</c:v>
                </c:pt>
                <c:pt idx="215">
                  <c:v>-80.5060704237424</c:v>
                </c:pt>
                <c:pt idx="216">
                  <c:v>-80.4620652597502</c:v>
                </c:pt>
                <c:pt idx="217">
                  <c:v>-80.4132599316961</c:v>
                </c:pt>
                <c:pt idx="218">
                  <c:v>-80.3596434606187</c:v>
                </c:pt>
                <c:pt idx="219">
                  <c:v>-80.3012035288713</c:v>
                </c:pt>
                <c:pt idx="220">
                  <c:v>-80.237926540689</c:v>
                </c:pt>
                <c:pt idx="221">
                  <c:v>-80.1697976870157</c:v>
                </c:pt>
                <c:pt idx="222">
                  <c:v>-80.096801014841</c:v>
                </c:pt>
                <c:pt idx="223">
                  <c:v>-80.0189195013055</c:v>
                </c:pt>
                <c:pt idx="224">
                  <c:v>-79.9361351328519</c:v>
                </c:pt>
                <c:pt idx="225">
                  <c:v>-79.8484289897031</c:v>
                </c:pt>
                <c:pt idx="226">
                  <c:v>-79.7557813359653</c:v>
                </c:pt>
                <c:pt idx="227">
                  <c:v>-79.6581717156657</c:v>
                </c:pt>
                <c:pt idx="228">
                  <c:v>-79.5555790550374</c:v>
                </c:pt>
                <c:pt idx="229">
                  <c:v>-79.4479817713827</c:v>
                </c:pt>
                <c:pt idx="230">
                  <c:v>-79.3353578888468</c:v>
                </c:pt>
                <c:pt idx="231">
                  <c:v>-79.2176851614445</c:v>
                </c:pt>
                <c:pt idx="232">
                  <c:v>-79.0949412036879</c:v>
                </c:pt>
                <c:pt idx="233">
                  <c:v>-78.967103629164</c:v>
                </c:pt>
                <c:pt idx="234">
                  <c:v>-78.8341501974186</c:v>
                </c:pt>
                <c:pt idx="235">
                  <c:v>-78.6960589694963</c:v>
                </c:pt>
                <c:pt idx="236">
                  <c:v>-78.5528084724892</c:v>
                </c:pt>
                <c:pt idx="237">
                  <c:v>-78.4043778734383</c:v>
                </c:pt>
                <c:pt idx="238">
                  <c:v>-78.2507471629236</c:v>
                </c:pt>
                <c:pt idx="239">
                  <c:v>-78.0918973486688</c:v>
                </c:pt>
                <c:pt idx="240">
                  <c:v>-77.9278106594676</c:v>
                </c:pt>
                <c:pt idx="241">
                  <c:v>-77.7584707597213</c:v>
                </c:pt>
                <c:pt idx="242">
                  <c:v>-77.5838629748508</c:v>
                </c:pt>
                <c:pt idx="243">
                  <c:v>-77.4039745278183</c:v>
                </c:pt>
                <c:pt idx="244">
                  <c:v>-77.2187947869553</c:v>
                </c:pt>
                <c:pt idx="245">
                  <c:v>-77.0283155252573</c:v>
                </c:pt>
                <c:pt idx="246">
                  <c:v>-76.832531191252</c:v>
                </c:pt>
                <c:pt idx="247">
                  <c:v>-76.6314391914994</c:v>
                </c:pt>
                <c:pt idx="248">
                  <c:v>-76.4250401847137</c:v>
                </c:pt>
                <c:pt idx="249">
                  <c:v>-76.2133383874365</c:v>
                </c:pt>
                <c:pt idx="250">
                  <c:v>-75.9963418911017</c:v>
                </c:pt>
                <c:pt idx="251">
                  <c:v>-75.7740629902583</c:v>
                </c:pt>
                <c:pt idx="252">
                  <c:v>-75.5465185216149</c:v>
                </c:pt>
                <c:pt idx="253">
                  <c:v>-75.3137302134705</c:v>
                </c:pt>
                <c:pt idx="254">
                  <c:v>-75.0757250449822</c:v>
                </c:pt>
                <c:pt idx="255">
                  <c:v>-74.8325356145998</c:v>
                </c:pt>
                <c:pt idx="256">
                  <c:v>-74.5842005168686</c:v>
                </c:pt>
                <c:pt idx="257">
                  <c:v>-74.3307647266613</c:v>
                </c:pt>
                <c:pt idx="258">
                  <c:v>-74.0722799897549</c:v>
                </c:pt>
                <c:pt idx="259">
                  <c:v>-73.8088052185123</c:v>
                </c:pt>
                <c:pt idx="260">
                  <c:v>-73.5404068912692</c:v>
                </c:pt>
                <c:pt idx="261">
                  <c:v>-73.2671594538594</c:v>
                </c:pt>
                <c:pt idx="262">
                  <c:v>-72.9891457215375</c:v>
                </c:pt>
                <c:pt idx="263">
                  <c:v>-72.7064572793861</c:v>
                </c:pt>
                <c:pt idx="264">
                  <c:v>-72.4191948791165</c:v>
                </c:pt>
                <c:pt idx="265">
                  <c:v>-72.1274688299922</c:v>
                </c:pt>
                <c:pt idx="266">
                  <c:v>-71.8313993814374</c:v>
                </c:pt>
                <c:pt idx="267">
                  <c:v>-71.5311170947144</c:v>
                </c:pt>
                <c:pt idx="268">
                  <c:v>-71.2267632008996</c:v>
                </c:pt>
                <c:pt idx="269">
                  <c:v>-70.918489942229</c:v>
                </c:pt>
                <c:pt idx="270">
                  <c:v>-70.6064608937518</c:v>
                </c:pt>
                <c:pt idx="271">
                  <c:v>-70.2908512621023</c:v>
                </c:pt>
                <c:pt idx="272">
                  <c:v>-69.9718481581036</c:v>
                </c:pt>
                <c:pt idx="273">
                  <c:v>-69.6496508398315</c:v>
                </c:pt>
                <c:pt idx="274">
                  <c:v>-69.3244709227204</c:v>
                </c:pt>
                <c:pt idx="275">
                  <c:v>-68.9965325532628</c:v>
                </c:pt>
                <c:pt idx="276">
                  <c:v>-68.6660725428705</c:v>
                </c:pt>
                <c:pt idx="277">
                  <c:v>-68.3333404585074</c:v>
                </c:pt>
                <c:pt idx="278">
                  <c:v>-67.9985986667879</c:v>
                </c:pt>
                <c:pt idx="279">
                  <c:v>-67.6621223283651</c:v>
                </c:pt>
                <c:pt idx="280">
                  <c:v>-67.3241993395918</c:v>
                </c:pt>
                <c:pt idx="281">
                  <c:v>-66.985130218658</c:v>
                </c:pt>
                <c:pt idx="282">
                  <c:v>-66.6452279336574</c:v>
                </c:pt>
                <c:pt idx="283">
                  <c:v>-66.3048176703363</c:v>
                </c:pt>
                <c:pt idx="284">
                  <c:v>-65.9642365376235</c:v>
                </c:pt>
                <c:pt idx="285">
                  <c:v>-65.6238332094175</c:v>
                </c:pt>
                <c:pt idx="286">
                  <c:v>-65.2839675015322</c:v>
                </c:pt>
                <c:pt idx="287">
                  <c:v>-64.945009883156</c:v>
                </c:pt>
                <c:pt idx="288">
                  <c:v>-64.6073409226651</c:v>
                </c:pt>
                <c:pt idx="289">
                  <c:v>-64.271350668141</c:v>
                </c:pt>
                <c:pt idx="290">
                  <c:v>-63.9374379634689</c:v>
                </c:pt>
                <c:pt idx="291">
                  <c:v>-63.6060097014357</c:v>
                </c:pt>
                <c:pt idx="292">
                  <c:v>-63.2774800157872</c:v>
                </c:pt>
                <c:pt idx="293">
                  <c:v>-62.9522694147438</c:v>
                </c:pt>
                <c:pt idx="294">
                  <c:v>-62.6308038590053</c:v>
                </c:pt>
                <c:pt idx="295">
                  <c:v>-62.3135137877776</c:v>
                </c:pt>
                <c:pt idx="296">
                  <c:v>-62.000833096843</c:v>
                </c:pt>
                <c:pt idx="297">
                  <c:v>-61.6931980731322</c:v>
                </c:pt>
                <c:pt idx="298">
                  <c:v>-61.391046290671</c:v>
                </c:pt>
                <c:pt idx="299">
                  <c:v>-61.094815473118</c:v>
                </c:pt>
                <c:pt idx="300">
                  <c:v>-60.8049423284223</c:v>
                </c:pt>
                <c:pt idx="301">
                  <c:v>-60.5218613613662</c:v>
                </c:pt>
                <c:pt idx="302">
                  <c:v>-60.2460036699448</c:v>
                </c:pt>
                <c:pt idx="303">
                  <c:v>-59.9777957316541</c:v>
                </c:pt>
                <c:pt idx="304">
                  <c:v>-59.7176581858116</c:v>
                </c:pt>
                <c:pt idx="305">
                  <c:v>-59.466004618032</c:v>
                </c:pt>
                <c:pt idx="306">
                  <c:v>-59.2232403529078</c:v>
                </c:pt>
                <c:pt idx="307">
                  <c:v>-58.9897612608259</c:v>
                </c:pt>
                <c:pt idx="308">
                  <c:v>-58.7659525846665</c:v>
                </c:pt>
                <c:pt idx="309">
                  <c:v>-58.5521877919056</c:v>
                </c:pt>
                <c:pt idx="310">
                  <c:v>-58.3488274573836</c:v>
                </c:pt>
                <c:pt idx="311">
                  <c:v>-58.1562181816867</c:v>
                </c:pt>
                <c:pt idx="312">
                  <c:v>-57.9746915497679</c:v>
                </c:pt>
                <c:pt idx="313">
                  <c:v>-57.8045631340808</c:v>
                </c:pt>
                <c:pt idx="314">
                  <c:v>-57.6461315461362</c:v>
                </c:pt>
                <c:pt idx="315">
                  <c:v>-57.4996775400272</c:v>
                </c:pt>
                <c:pt idx="316">
                  <c:v>-57.3654631710952</c:v>
                </c:pt>
                <c:pt idx="317">
                  <c:v>-57.2437310125604</c:v>
                </c:pt>
                <c:pt idx="318">
                  <c:v>-57.1347034325819</c:v>
                </c:pt>
                <c:pt idx="319">
                  <c:v>-57.0385819338955</c:v>
                </c:pt>
                <c:pt idx="320">
                  <c:v>-56.9555465578633</c:v>
                </c:pt>
                <c:pt idx="321">
                  <c:v>-56.8857553544884</c:v>
                </c:pt>
                <c:pt idx="322">
                  <c:v>-56.8293439196856</c:v>
                </c:pt>
                <c:pt idx="323">
                  <c:v>-56.7864250008715</c:v>
                </c:pt>
                <c:pt idx="324">
                  <c:v>-56.7570881717211</c:v>
                </c:pt>
                <c:pt idx="325">
                  <c:v>-56.7413995767586</c:v>
                </c:pt>
                <c:pt idx="326">
                  <c:v>-56.7394017462776</c:v>
                </c:pt>
                <c:pt idx="327">
                  <c:v>-56.7511134819405</c:v>
                </c:pt>
                <c:pt idx="328">
                  <c:v>-56.7765298132668</c:v>
                </c:pt>
                <c:pt idx="329">
                  <c:v>-56.8156220250941</c:v>
                </c:pt>
                <c:pt idx="330">
                  <c:v>-56.8683377559635</c:v>
                </c:pt>
                <c:pt idx="331">
                  <c:v>-56.9346011672622</c:v>
                </c:pt>
                <c:pt idx="332">
                  <c:v>-57.0143131828127</c:v>
                </c:pt>
                <c:pt idx="333">
                  <c:v>-57.1073517984578</c:v>
                </c:pt>
                <c:pt idx="334">
                  <c:v>-57.2135724610284</c:v>
                </c:pt>
                <c:pt idx="335">
                  <c:v>-57.3328085158949</c:v>
                </c:pt>
                <c:pt idx="336">
                  <c:v>-57.4648717221141</c:v>
                </c:pt>
                <c:pt idx="337">
                  <c:v>-57.6095528339394</c:v>
                </c:pt>
                <c:pt idx="338">
                  <c:v>-57.7666222472221</c:v>
                </c:pt>
                <c:pt idx="339">
                  <c:v>-57.9358307089552</c:v>
                </c:pt>
                <c:pt idx="340">
                  <c:v>-58.1169100879007</c:v>
                </c:pt>
                <c:pt idx="341">
                  <c:v>-58.3095742039285</c:v>
                </c:pt>
                <c:pt idx="342">
                  <c:v>-58.5135197133488</c:v>
                </c:pt>
                <c:pt idx="343">
                  <c:v>-58.7284270471633</c:v>
                </c:pt>
                <c:pt idx="344">
                  <c:v>-58.9539613988008</c:v>
                </c:pt>
                <c:pt idx="345">
                  <c:v>-59.1897737575253</c:v>
                </c:pt>
                <c:pt idx="346">
                  <c:v>-59.4355019833509</c:v>
                </c:pt>
                <c:pt idx="347">
                  <c:v>-59.6907719189358</c:v>
                </c:pt>
                <c:pt idx="348">
                  <c:v>-59.9551985335927</c:v>
                </c:pt>
                <c:pt idx="349">
                  <c:v>-60.2283870942464</c:v>
                </c:pt>
                <c:pt idx="350">
                  <c:v>-60.5099343578864</c:v>
                </c:pt>
                <c:pt idx="351">
                  <c:v>-60.7994297798264</c:v>
                </c:pt>
                <c:pt idx="352">
                  <c:v>-61.096456731891</c:v>
                </c:pt>
                <c:pt idx="353">
                  <c:v>-61.4005937245064</c:v>
                </c:pt>
                <c:pt idx="354">
                  <c:v>-61.711415626596</c:v>
                </c:pt>
                <c:pt idx="355">
                  <c:v>-62.0284948771427</c:v>
                </c:pt>
                <c:pt idx="356">
                  <c:v>-62.3514026823383</c:v>
                </c:pt>
                <c:pt idx="357">
                  <c:v>-62.6797101923215</c:v>
                </c:pt>
                <c:pt idx="358">
                  <c:v>-63.0129896516914</c:v>
                </c:pt>
                <c:pt idx="359">
                  <c:v>-63.3508155181912</c:v>
                </c:pt>
                <c:pt idx="360">
                  <c:v>-63.6927655442569</c:v>
                </c:pt>
                <c:pt idx="361">
                  <c:v>-64.0384218164637</c:v>
                </c:pt>
                <c:pt idx="362">
                  <c:v>-64.3873717482852</c:v>
                </c:pt>
                <c:pt idx="363">
                  <c:v>-64.7392090220303</c:v>
                </c:pt>
                <c:pt idx="364">
                  <c:v>-65.0935344762783</c:v>
                </c:pt>
                <c:pt idx="365">
                  <c:v>-65.449956935648</c:v>
                </c:pt>
                <c:pt idx="366">
                  <c:v>-65.8080939802501</c:v>
                </c:pt>
                <c:pt idx="367">
                  <c:v>-66.1675726527156</c:v>
                </c:pt>
                <c:pt idx="368">
                  <c:v>-66.5280301012327</c:v>
                </c:pt>
                <c:pt idx="369">
                  <c:v>-66.8891141575679</c:v>
                </c:pt>
                <c:pt idx="370">
                  <c:v>-67.2504838495765</c:v>
                </c:pt>
                <c:pt idx="371">
                  <c:v>-67.6118098482256</c:v>
                </c:pt>
                <c:pt idx="372">
                  <c:v>-67.9727748496433</c:v>
                </c:pt>
                <c:pt idx="373">
                  <c:v>-68.333073893174</c:v>
                </c:pt>
                <c:pt idx="374">
                  <c:v>-68.6924146168476</c:v>
                </c:pt>
                <c:pt idx="375">
                  <c:v>-69.0505174520681</c:v>
                </c:pt>
                <c:pt idx="376">
                  <c:v>-69.4071157596772</c:v>
                </c:pt>
                <c:pt idx="377">
                  <c:v>-69.7619559098646</c:v>
                </c:pt>
                <c:pt idx="378">
                  <c:v>-70.1147973086572</c:v>
                </c:pt>
                <c:pt idx="379">
                  <c:v>-70.4654123739525</c:v>
                </c:pt>
                <c:pt idx="380">
                  <c:v>-70.813586464231</c:v>
                </c:pt>
                <c:pt idx="381">
                  <c:v>-71.1591177632279</c:v>
                </c:pt>
                <c:pt idx="382">
                  <c:v>-71.5018171239368</c:v>
                </c:pt>
                <c:pt idx="383">
                  <c:v>-71.8415078753696</c:v>
                </c:pt>
                <c:pt idx="384">
                  <c:v>-72.1780255955274</c:v>
                </c:pt>
                <c:pt idx="385">
                  <c:v>-72.5112178540108</c:v>
                </c:pt>
                <c:pt idx="386">
                  <c:v>-72.8409439276628</c:v>
                </c:pt>
                <c:pt idx="387">
                  <c:v>-73.1670744925604</c:v>
                </c:pt>
                <c:pt idx="388">
                  <c:v>-73.4894912955731</c:v>
                </c:pt>
                <c:pt idx="389">
                  <c:v>-73.8080868085968</c:v>
                </c:pt>
                <c:pt idx="390">
                  <c:v>-74.1227638684266</c:v>
                </c:pt>
                <c:pt idx="391">
                  <c:v>-74.4334353050945</c:v>
                </c:pt>
                <c:pt idx="392">
                  <c:v>-74.7400235613289</c:v>
                </c:pt>
                <c:pt idx="393">
                  <c:v>-75.0424603056321</c:v>
                </c:pt>
                <c:pt idx="394">
                  <c:v>-75.3406860412928</c:v>
                </c:pt>
                <c:pt idx="395">
                  <c:v>-75.6346497134801</c:v>
                </c:pt>
                <c:pt idx="396">
                  <c:v>-75.9243083163862</c:v>
                </c:pt>
                <c:pt idx="397">
                  <c:v>-76.209626502205</c:v>
                </c:pt>
                <c:pt idx="398">
                  <c:v>-76.4905761935685</c:v>
                </c:pt>
                <c:pt idx="399">
                  <c:v>-76.7671362008885</c:v>
                </c:pt>
                <c:pt idx="400">
                  <c:v>-77.0392918458903</c:v>
                </c:pt>
                <c:pt idx="401">
                  <c:v>-77.3070345924695</c:v>
                </c:pt>
                <c:pt idx="402">
                  <c:v>-77.5703616858502</c:v>
                </c:pt>
                <c:pt idx="403">
                  <c:v>-77.8292758008883</c:v>
                </c:pt>
                <c:pt idx="404">
                  <c:v>-78.0837847002256</c:v>
                </c:pt>
                <c:pt idx="405">
                  <c:v>-78.3339009028794</c:v>
                </c:pt>
                <c:pt idx="406">
                  <c:v>-78.5796413637364</c:v>
                </c:pt>
                <c:pt idx="407">
                  <c:v>-78.8210271643154</c:v>
                </c:pt>
                <c:pt idx="408">
                  <c:v>-79.0580832150657</c:v>
                </c:pt>
                <c:pt idx="409">
                  <c:v>-79.2908379693771</c:v>
                </c:pt>
                <c:pt idx="410">
                  <c:v>-79.5193231494026</c:v>
                </c:pt>
                <c:pt idx="411">
                  <c:v>-79.7435734837196</c:v>
                </c:pt>
                <c:pt idx="412">
                  <c:v>-79.9636264567902</c:v>
                </c:pt>
                <c:pt idx="413">
                  <c:v>-80.1795220701293</c:v>
                </c:pt>
                <c:pt idx="414">
                  <c:v>-80.3913026150334</c:v>
                </c:pt>
                <c:pt idx="415">
                  <c:v>-80.599012456686</c:v>
                </c:pt>
                <c:pt idx="416">
                  <c:v>-80.8026978294112</c:v>
                </c:pt>
                <c:pt idx="417">
                  <c:v>-81.0024066428232</c:v>
                </c:pt>
                <c:pt idx="418">
                  <c:v>-81.1981882985854</c:v>
                </c:pt>
                <c:pt idx="419">
                  <c:v>-81.3900935174776</c:v>
                </c:pt>
                <c:pt idx="420">
                  <c:v>-81.5781741764475</c:v>
                </c:pt>
                <c:pt idx="421">
                  <c:v>-81.762483155312</c:v>
                </c:pt>
                <c:pt idx="422">
                  <c:v>-81.9430741927633</c:v>
                </c:pt>
                <c:pt idx="423">
                  <c:v>-82.1200017513259</c:v>
                </c:pt>
                <c:pt idx="424">
                  <c:v>-82.2933208909113</c:v>
                </c:pt>
                <c:pt idx="425">
                  <c:v>-82.4630871506105</c:v>
                </c:pt>
                <c:pt idx="426">
                  <c:v>-82.6293564383675</c:v>
                </c:pt>
                <c:pt idx="427">
                  <c:v>-82.7921849281809</c:v>
                </c:pt>
                <c:pt idx="428">
                  <c:v>-82.9516289644821</c:v>
                </c:pt>
                <c:pt idx="429">
                  <c:v>-83.1077449733472</c:v>
                </c:pt>
                <c:pt idx="430">
                  <c:v>-83.2605893802026</c:v>
                </c:pt>
                <c:pt idx="431">
                  <c:v>-83.4102185336979</c:v>
                </c:pt>
                <c:pt idx="432">
                  <c:v>-83.5566886354226</c:v>
                </c:pt>
                <c:pt idx="433">
                  <c:v>-83.7000556751566</c:v>
                </c:pt>
                <c:pt idx="434">
                  <c:v>-83.8403753713519</c:v>
                </c:pt>
                <c:pt idx="435">
                  <c:v>-83.9777031165547</c:v>
                </c:pt>
                <c:pt idx="436">
                  <c:v>-84.1120939274872</c:v>
                </c:pt>
                <c:pt idx="437">
                  <c:v>-84.2436023995186</c:v>
                </c:pt>
                <c:pt idx="438">
                  <c:v>-84.3722826652673</c:v>
                </c:pt>
                <c:pt idx="439">
                  <c:v>-84.4981883570837</c:v>
                </c:pt>
                <c:pt idx="440">
                  <c:v>-84.6213725731792</c:v>
                </c:pt>
                <c:pt idx="441">
                  <c:v>-84.7418878471719</c:v>
                </c:pt>
                <c:pt idx="442">
                  <c:v>-84.8597861208345</c:v>
                </c:pt>
                <c:pt idx="443">
                  <c:v>-84.9751187198383</c:v>
                </c:pt>
                <c:pt idx="444">
                  <c:v>-85.0879363322956</c:v>
                </c:pt>
                <c:pt idx="445">
                  <c:v>-85.1982889899184</c:v>
                </c:pt>
                <c:pt idx="446">
                  <c:v>-85.3062260516132</c:v>
                </c:pt>
                <c:pt idx="447">
                  <c:v>-85.4117961893473</c:v>
                </c:pt>
                <c:pt idx="448">
                  <c:v>-85.5150473761273</c:v>
                </c:pt>
                <c:pt idx="449">
                  <c:v>-85.6160268759413</c:v>
                </c:pt>
                <c:pt idx="450">
                  <c:v>-85.7147812355226</c:v>
                </c:pt>
                <c:pt idx="451">
                  <c:v>-85.8113562778027</c:v>
                </c:pt>
                <c:pt idx="452">
                  <c:v>-85.9057970969272</c:v>
                </c:pt>
                <c:pt idx="453">
                  <c:v>-85.9981480547175</c:v>
                </c:pt>
                <c:pt idx="454">
                  <c:v>-86.0884527784657</c:v>
                </c:pt>
                <c:pt idx="455">
                  <c:v>-86.1767541599594</c:v>
                </c:pt>
                <c:pt idx="456">
                  <c:v>-86.2630943556375</c:v>
                </c:pt>
                <c:pt idx="457">
                  <c:v>-86.3475147877853</c:v>
                </c:pt>
                <c:pt idx="458">
                  <c:v>-86.4300561466814</c:v>
                </c:pt>
                <c:pt idx="459">
                  <c:v>-86.5107583936175</c:v>
                </c:pt>
                <c:pt idx="460">
                  <c:v>-86.5896607647126</c:v>
                </c:pt>
                <c:pt idx="461">
                  <c:v>-86.666801775453</c:v>
                </c:pt>
                <c:pt idx="462">
                  <c:v>-86.7422192258909</c:v>
                </c:pt>
                <c:pt idx="463">
                  <c:v>-86.8159502064389</c:v>
                </c:pt>
                <c:pt idx="464">
                  <c:v>-86.8880311042041</c:v>
                </c:pt>
                <c:pt idx="465">
                  <c:v>-86.9584976098067</c:v>
                </c:pt>
                <c:pt idx="466">
                  <c:v>-87.0273847246336</c:v>
                </c:pt>
                <c:pt idx="467">
                  <c:v>-87.0947267684796</c:v>
                </c:pt>
                <c:pt idx="468">
                  <c:v>-87.1605573875334</c:v>
                </c:pt>
                <c:pt idx="469">
                  <c:v>-87.2249095626676</c:v>
                </c:pt>
                <c:pt idx="470">
                  <c:v>-87.2878156179948</c:v>
                </c:pt>
                <c:pt idx="471">
                  <c:v>-87.3493072296556</c:v>
                </c:pt>
                <c:pt idx="472">
                  <c:v>-87.409415434806</c:v>
                </c:pt>
                <c:pt idx="473">
                  <c:v>-87.4681706407736</c:v>
                </c:pt>
                <c:pt idx="474">
                  <c:v>-87.5256026343566</c:v>
                </c:pt>
                <c:pt idx="475">
                  <c:v>-87.581740591238</c:v>
                </c:pt>
                <c:pt idx="476">
                  <c:v>-87.6366130854925</c:v>
                </c:pt>
                <c:pt idx="477">
                  <c:v>-87.6902480991645</c:v>
                </c:pt>
                <c:pt idx="478">
                  <c:v>-87.7426730318966</c:v>
                </c:pt>
                <c:pt idx="479">
                  <c:v>-87.7939147105902</c:v>
                </c:pt>
                <c:pt idx="480">
                  <c:v>-87.843999399082</c:v>
                </c:pt>
                <c:pt idx="481">
                  <c:v>-87.8929528078194</c:v>
                </c:pt>
                <c:pt idx="482">
                  <c:v>-87.9408001035224</c:v>
                </c:pt>
                <c:pt idx="483">
                  <c:v>-87.9875659188174</c:v>
                </c:pt>
                <c:pt idx="484">
                  <c:v>-88.0332743618321</c:v>
                </c:pt>
                <c:pt idx="485">
                  <c:v>-88.07794902574</c:v>
                </c:pt>
                <c:pt idx="486">
                  <c:v>-88.1216129982457</c:v>
                </c:pt>
                <c:pt idx="487">
                  <c:v>-88.1642888710005</c:v>
                </c:pt>
                <c:pt idx="488">
                  <c:v>-88.2059987489418</c:v>
                </c:pt>
                <c:pt idx="489">
                  <c:v>-88.2467642595486</c:v>
                </c:pt>
                <c:pt idx="490">
                  <c:v>-88.286606562006</c:v>
                </c:pt>
                <c:pt idx="491">
                  <c:v>-88.325546356274</c:v>
                </c:pt>
                <c:pt idx="492">
                  <c:v>-88.3636038920545</c:v>
                </c:pt>
                <c:pt idx="493">
                  <c:v>-88.4007989776521</c:v>
                </c:pt>
                <c:pt idx="494">
                  <c:v>-88.4371509887256</c:v>
                </c:pt>
                <c:pt idx="495">
                  <c:v>-88.4726788769252</c:v>
                </c:pt>
                <c:pt idx="496">
                  <c:v>-88.5074011784135</c:v>
                </c:pt>
                <c:pt idx="497">
                  <c:v>-88.5413360222671</c:v>
                </c:pt>
                <c:pt idx="498">
                  <c:v>-88.5745011387574</c:v>
                </c:pt>
                <c:pt idx="499">
                  <c:v>-88.6069138675073</c:v>
                </c:pt>
                <c:pt idx="500">
                  <c:v>-88.6385911655238</c:v>
                </c:pt>
                <c:pt idx="501">
                  <c:v>-88.6695496151045</c:v>
                </c:pt>
                <c:pt idx="502">
                  <c:v>-88.6998054316176</c:v>
                </c:pt>
                <c:pt idx="503">
                  <c:v>-88.7293744711539</c:v>
                </c:pt>
                <c:pt idx="504">
                  <c:v>-88.7582722380518</c:v>
                </c:pt>
                <c:pt idx="505">
                  <c:v>-88.7865138922938</c:v>
                </c:pt>
                <c:pt idx="506">
                  <c:v>-88.8141142567748</c:v>
                </c:pt>
                <c:pt idx="507">
                  <c:v>-88.8410878244442</c:v>
                </c:pt>
                <c:pt idx="508">
                  <c:v>-88.867448765319</c:v>
                </c:pt>
                <c:pt idx="509">
                  <c:v>-88.8932109333712</c:v>
                </c:pt>
                <c:pt idx="510">
                  <c:v>-88.9183878732893</c:v>
                </c:pt>
                <c:pt idx="511">
                  <c:v>-88.9429928271138</c:v>
                </c:pt>
                <c:pt idx="512">
                  <c:v>-88.9670387407497</c:v>
                </c:pt>
                <c:pt idx="513">
                  <c:v>-88.9905382703547</c:v>
                </c:pt>
                <c:pt idx="514">
                  <c:v>-89.0135037886062</c:v>
                </c:pt>
                <c:pt idx="515">
                  <c:v>-89.0359473908471</c:v>
                </c:pt>
                <c:pt idx="516">
                  <c:v>-89.057880901112</c:v>
                </c:pt>
                <c:pt idx="517">
                  <c:v>-89.0793158780358</c:v>
                </c:pt>
                <c:pt idx="518">
                  <c:v>-89.1002636206452</c:v>
                </c:pt>
                <c:pt idx="519">
                  <c:v>-89.1207351740348</c:v>
                </c:pt>
                <c:pt idx="520">
                  <c:v>-89.14074133493</c:v>
                </c:pt>
                <c:pt idx="521">
                  <c:v>-89.1602926571377</c:v>
                </c:pt>
                <c:pt idx="522">
                  <c:v>-89.1793994568857</c:v>
                </c:pt>
                <c:pt idx="523">
                  <c:v>-89.198071818054</c:v>
                </c:pt>
                <c:pt idx="524">
                  <c:v>-89.2163195972989</c:v>
                </c:pt>
                <c:pt idx="525">
                  <c:v>-89.2341524290703</c:v>
                </c:pt>
                <c:pt idx="526">
                  <c:v>-89.2515797305266</c:v>
                </c:pt>
                <c:pt idx="527">
                  <c:v>-89.2686107063461</c:v>
                </c:pt>
                <c:pt idx="528">
                  <c:v>-89.2852543534382</c:v>
                </c:pt>
                <c:pt idx="529">
                  <c:v>-89.3015194655564</c:v>
                </c:pt>
                <c:pt idx="530">
                  <c:v>-89.3174146378125</c:v>
                </c:pt>
                <c:pt idx="531">
                  <c:v>-89.3329482710972</c:v>
                </c:pt>
                <c:pt idx="532">
                  <c:v>-89.3481285764054</c:v>
                </c:pt>
                <c:pt idx="533">
                  <c:v>-89.3629635790703</c:v>
                </c:pt>
                <c:pt idx="534">
                  <c:v>-89.3774611229063</c:v>
                </c:pt>
                <c:pt idx="535">
                  <c:v>-89.3916288742638</c:v>
                </c:pt>
                <c:pt idx="536">
                  <c:v>-89.4054743259965</c:v>
                </c:pt>
                <c:pt idx="537">
                  <c:v>-89.419004801343</c:v>
                </c:pt>
                <c:pt idx="538">
                  <c:v>-89.4322274577253</c:v>
                </c:pt>
                <c:pt idx="539">
                  <c:v>-89.4451492904641</c:v>
                </c:pt>
                <c:pt idx="540">
                  <c:v>-89.4577771364141</c:v>
                </c:pt>
                <c:pt idx="541">
                  <c:v>-89.4701176775198</c:v>
                </c:pt>
              </c:numCache>
            </c:numRef>
          </c:yVal>
          <c:smooth val="1"/>
        </c:ser>
        <c:dLbls>
          <c:showLegendKey val="0"/>
          <c:showVal val="0"/>
          <c:showCatName val="0"/>
          <c:showSerName val="0"/>
          <c:showPercent val="0"/>
          <c:showBubbleSize val="0"/>
        </c:dLbls>
        <c:axId val="178862336"/>
        <c:axId val="178860800"/>
      </c:scatterChart>
      <c:valAx>
        <c:axId val="178856704"/>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858624"/>
        <c:crosses val="autoZero"/>
        <c:crossBetween val="midCat"/>
      </c:valAx>
      <c:valAx>
        <c:axId val="178858624"/>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Gain</a:t>
                </a:r>
                <a:r>
                  <a:rPr lang="en-US" baseline="0"/>
                  <a:t> (dB)</a:t>
                </a:r>
                <a:endParaRPr lang="en-US"/>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856704"/>
        <c:crosses val="autoZero"/>
        <c:crossBetween val="midCat"/>
        <c:majorUnit val="20"/>
        <c:minorUnit val="10"/>
      </c:valAx>
      <c:valAx>
        <c:axId val="178862336"/>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860800"/>
        <c:crosses val="autoZero"/>
        <c:crossBetween val="midCat"/>
      </c:valAx>
      <c:valAx>
        <c:axId val="178860800"/>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862336"/>
        <c:crosses val="max"/>
        <c:crossBetween val="midCat"/>
        <c:majorUnit val="90"/>
        <c:minorUnit val="45"/>
      </c:valAx>
    </c:plotArea>
    <c:legend>
      <c:legendPos val="r"/>
      <c:layout>
        <c:manualLayout>
          <c:xMode val="edge"/>
          <c:yMode val="edge"/>
          <c:x val="0.798805582095125"/>
          <c:y val="0.14321997959862"/>
          <c:w val="0.134594492760573"/>
          <c:h val="0.106916098611994"/>
        </c:manualLayout>
      </c:layout>
      <c:overlay val="1"/>
      <c:spPr>
        <a:solidFill>
          <a:schemeClr val="bg1"/>
        </a:solidFill>
      </c:spPr>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642237c-f052-44fa-acdb-ac797fb65b45}"/>
      </c:ext>
    </c:extLst>
  </c:chart>
  <c:txPr>
    <a:bodyPr/>
    <a:lstStyle/>
    <a:p>
      <a:pPr>
        <a:defRPr lang="pl-PL"/>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baseline="0"/>
              <a:t>DCM Control Loop Transfer Function</a:t>
            </a:r>
            <a:endParaRPr lang="en-US" baseline="0"/>
          </a:p>
        </c:rich>
      </c:tx>
      <c:layout/>
      <c:overlay val="0"/>
    </c:title>
    <c:autoTitleDeleted val="0"/>
    <c:plotArea>
      <c:layout/>
      <c:scatterChart>
        <c:scatterStyle val="smooth"/>
        <c:varyColors val="0"/>
        <c:ser>
          <c:idx val="0"/>
          <c:order val="0"/>
          <c:spPr>
            <a:ln w="38100" cap="rnd" cmpd="sng" algn="ctr">
              <a:solidFill>
                <a:srgbClr val="FF0000"/>
              </a:solidFill>
              <a:prstDash val="solid"/>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Loop_Modeling!$BJ$19:$BJ$560</c:f>
              <c:numCache>
                <c:formatCode>0.000</c:formatCode>
                <c:ptCount val="542"/>
                <c:pt idx="0">
                  <c:v>75.5564430403537</c:v>
                </c:pt>
                <c:pt idx="1">
                  <c:v>75.35439613347</c:v>
                </c:pt>
                <c:pt idx="2">
                  <c:v>75.1522540505277</c:v>
                </c:pt>
                <c:pt idx="3">
                  <c:v>74.9500124290478</c:v>
                </c:pt>
                <c:pt idx="4">
                  <c:v>74.7476667125915</c:v>
                </c:pt>
                <c:pt idx="5">
                  <c:v>74.545212142708</c:v>
                </c:pt>
                <c:pt idx="6">
                  <c:v>74.342643750603</c:v>
                </c:pt>
                <c:pt idx="7">
                  <c:v>74.1399563485243</c:v>
                </c:pt>
                <c:pt idx="8">
                  <c:v>73.9371445208586</c:v>
                </c:pt>
                <c:pt idx="9">
                  <c:v>73.7342026149406</c:v>
                </c:pt>
                <c:pt idx="10">
                  <c:v>73.531124731568</c:v>
                </c:pt>
                <c:pt idx="11">
                  <c:v>73.3279047152229</c:v>
                </c:pt>
                <c:pt idx="12">
                  <c:v>73.1245361440002</c:v>
                </c:pt>
                <c:pt idx="13">
                  <c:v>72.9210123192412</c:v>
                </c:pt>
                <c:pt idx="14">
                  <c:v>72.7173262548771</c:v>
                </c:pt>
                <c:pt idx="15">
                  <c:v>72.5134706664826</c:v>
                </c:pt>
                <c:pt idx="16">
                  <c:v>72.3094379600477</c:v>
                </c:pt>
                <c:pt idx="17">
                  <c:v>72.1052202204715</c:v>
                </c:pt>
                <c:pt idx="18">
                  <c:v>71.9008091997874</c:v>
                </c:pt>
                <c:pt idx="19">
                  <c:v>71.6961963051309</c:v>
                </c:pt>
                <c:pt idx="20">
                  <c:v>71.4913725864605</c:v>
                </c:pt>
                <c:pt idx="21">
                  <c:v>71.2863287240496</c:v>
                </c:pt>
                <c:pt idx="22">
                  <c:v>71.0810550157643</c:v>
                </c:pt>
                <c:pt idx="23">
                  <c:v>70.8755413641507</c:v>
                </c:pt>
                <c:pt idx="24">
                  <c:v>70.6697772633537</c:v>
                </c:pt>
                <c:pt idx="25">
                  <c:v>70.4637517858949</c:v>
                </c:pt>
                <c:pt idx="26">
                  <c:v>70.2574535693431</c:v>
                </c:pt>
                <c:pt idx="27">
                  <c:v>70.0508708029091</c:v>
                </c:pt>
                <c:pt idx="28">
                  <c:v>69.843991214007</c:v>
                </c:pt>
                <c:pt idx="29">
                  <c:v>69.6368020548265</c:v>
                </c:pt>
                <c:pt idx="30">
                  <c:v>69.4292900889632</c:v>
                </c:pt>
                <c:pt idx="31">
                  <c:v>69.2214415781645</c:v>
                </c:pt>
                <c:pt idx="32">
                  <c:v>69.0132422692489</c:v>
                </c:pt>
                <c:pt idx="33">
                  <c:v>68.8046773812675</c:v>
                </c:pt>
                <c:pt idx="34">
                  <c:v>68.5957315929778</c:v>
                </c:pt>
                <c:pt idx="35">
                  <c:v>68.3863890307124</c:v>
                </c:pt>
                <c:pt idx="36">
                  <c:v>68.1766332567248</c:v>
                </c:pt>
                <c:pt idx="37">
                  <c:v>67.9664472581115</c:v>
                </c:pt>
                <c:pt idx="38">
                  <c:v>67.7558134364063</c:v>
                </c:pt>
                <c:pt idx="39">
                  <c:v>67.5447135979603</c:v>
                </c:pt>
                <c:pt idx="40">
                  <c:v>67.3331289452222</c:v>
                </c:pt>
                <c:pt idx="41">
                  <c:v>67.121040069046</c:v>
                </c:pt>
                <c:pt idx="42">
                  <c:v>66.9084269421604</c:v>
                </c:pt>
                <c:pt idx="43">
                  <c:v>66.695268913941</c:v>
                </c:pt>
                <c:pt idx="44">
                  <c:v>66.4815447066381</c:v>
                </c:pt>
                <c:pt idx="45">
                  <c:v>66.2672324132185</c:v>
                </c:pt>
                <c:pt idx="46">
                  <c:v>66.0523094969904</c:v>
                </c:pt>
                <c:pt idx="47">
                  <c:v>65.836752793186</c:v>
                </c:pt>
                <c:pt idx="48">
                  <c:v>65.6205385126863</c:v>
                </c:pt>
                <c:pt idx="49">
                  <c:v>65.4036422480787</c:v>
                </c:pt>
                <c:pt idx="50">
                  <c:v>65.1860389822439</c:v>
                </c:pt>
                <c:pt idx="51">
                  <c:v>64.9677030996758</c:v>
                </c:pt>
                <c:pt idx="52">
                  <c:v>64.7486084007417</c:v>
                </c:pt>
                <c:pt idx="53">
                  <c:v>64.5287281190925</c:v>
                </c:pt>
                <c:pt idx="54">
                  <c:v>64.3080349424383</c:v>
                </c:pt>
                <c:pt idx="55">
                  <c:v>64.086501036901</c:v>
                </c:pt>
                <c:pt idx="56">
                  <c:v>63.8640980751573</c:v>
                </c:pt>
                <c:pt idx="57">
                  <c:v>63.6407972685808</c:v>
                </c:pt>
                <c:pt idx="58">
                  <c:v>63.4165694035877</c:v>
                </c:pt>
                <c:pt idx="59">
                  <c:v>63.1913848823809</c:v>
                </c:pt>
                <c:pt idx="60">
                  <c:v>62.9652137682786</c:v>
                </c:pt>
                <c:pt idx="61">
                  <c:v>62.7380258357985</c:v>
                </c:pt>
                <c:pt idx="62">
                  <c:v>62.5097906256537</c:v>
                </c:pt>
                <c:pt idx="63">
                  <c:v>62.2804775047954</c:v>
                </c:pt>
                <c:pt idx="64">
                  <c:v>62.0500557316142</c:v>
                </c:pt>
                <c:pt idx="65">
                  <c:v>61.8184945263879</c:v>
                </c:pt>
                <c:pt idx="66">
                  <c:v>61.5857631470281</c:v>
                </c:pt>
                <c:pt idx="67">
                  <c:v>61.3518309701504</c:v>
                </c:pt>
                <c:pt idx="68">
                  <c:v>61.1166675774513</c:v>
                </c:pt>
                <c:pt idx="69">
                  <c:v>60.8802428473337</c:v>
                </c:pt>
                <c:pt idx="70">
                  <c:v>60.6425270516827</c:v>
                </c:pt>
                <c:pt idx="71">
                  <c:v>60.4034909576405</c:v>
                </c:pt>
                <c:pt idx="72">
                  <c:v>60.1631059341835</c:v>
                </c:pt>
                <c:pt idx="73">
                  <c:v>59.9213440632488</c:v>
                </c:pt>
                <c:pt idx="74">
                  <c:v>59.6781782551039</c:v>
                </c:pt>
                <c:pt idx="75">
                  <c:v>59.4335823675967</c:v>
                </c:pt>
                <c:pt idx="76">
                  <c:v>59.1875313288658</c:v>
                </c:pt>
                <c:pt idx="77">
                  <c:v>58.9400012630327</c:v>
                </c:pt>
                <c:pt idx="78">
                  <c:v>58.6909696183433</c:v>
                </c:pt>
                <c:pt idx="79">
                  <c:v>58.440415297167</c:v>
                </c:pt>
                <c:pt idx="80">
                  <c:v>58.1883187872112</c:v>
                </c:pt>
                <c:pt idx="81">
                  <c:v>57.9346622932578</c:v>
                </c:pt>
                <c:pt idx="82">
                  <c:v>57.6794298686834</c:v>
                </c:pt>
                <c:pt idx="83">
                  <c:v>57.422607545981</c:v>
                </c:pt>
                <c:pt idx="84">
                  <c:v>57.1641834654702</c:v>
                </c:pt>
                <c:pt idx="85">
                  <c:v>56.9041480013494</c:v>
                </c:pt>
                <c:pt idx="86">
                  <c:v>56.6424938842267</c:v>
                </c:pt>
                <c:pt idx="87">
                  <c:v>56.3792163192502</c:v>
                </c:pt>
                <c:pt idx="88">
                  <c:v>56.1143130989548</c:v>
                </c:pt>
                <c:pt idx="89">
                  <c:v>55.8477847099487</c:v>
                </c:pt>
                <c:pt idx="90">
                  <c:v>55.5796344325746</c:v>
                </c:pt>
                <c:pt idx="91">
                  <c:v>55.3098684327062</c:v>
                </c:pt>
                <c:pt idx="92">
                  <c:v>55.0384958448724</c:v>
                </c:pt>
                <c:pt idx="93">
                  <c:v>54.7655288459436</c:v>
                </c:pt>
                <c:pt idx="94">
                  <c:v>54.4909827186694</c:v>
                </c:pt>
                <c:pt idx="95">
                  <c:v>54.2148759044079</c:v>
                </c:pt>
                <c:pt idx="96">
                  <c:v>53.9372300444658</c:v>
                </c:pt>
                <c:pt idx="97">
                  <c:v>53.6580700095292</c:v>
                </c:pt>
                <c:pt idx="98">
                  <c:v>53.3774239167552</c:v>
                </c:pt>
                <c:pt idx="99">
                  <c:v>53.0953231341703</c:v>
                </c:pt>
                <c:pt idx="100">
                  <c:v>52.8118022721128</c:v>
                </c:pt>
                <c:pt idx="101">
                  <c:v>52.526899161544</c:v>
                </c:pt>
                <c:pt idx="102">
                  <c:v>52.2406548191444</c:v>
                </c:pt>
                <c:pt idx="103">
                  <c:v>51.9531133991982</c:v>
                </c:pt>
                <c:pt idx="104">
                  <c:v>51.6643221323601</c:v>
                </c:pt>
                <c:pt idx="105">
                  <c:v>51.3743312514823</c:v>
                </c:pt>
                <c:pt idx="106">
                  <c:v>51.0831939047641</c:v>
                </c:pt>
                <c:pt idx="107">
                  <c:v>50.790966056559</c:v>
                </c:pt>
                <c:pt idx="108">
                  <c:v>50.4977063762516</c:v>
                </c:pt>
                <c:pt idx="109">
                  <c:v>50.2034761156829</c:v>
                </c:pt>
                <c:pt idx="110">
                  <c:v>49.9083389756569</c:v>
                </c:pt>
                <c:pt idx="111">
                  <c:v>49.6123609621258</c:v>
                </c:pt>
                <c:pt idx="112">
                  <c:v>49.3156102326908</c:v>
                </c:pt>
                <c:pt idx="113">
                  <c:v>49.0181569341001</c:v>
                </c:pt>
                <c:pt idx="114">
                  <c:v>48.7200730314636</c:v>
                </c:pt>
                <c:pt idx="115">
                  <c:v>48.4214321299294</c:v>
                </c:pt>
                <c:pt idx="116">
                  <c:v>48.1223092895979</c:v>
                </c:pt>
                <c:pt idx="117">
                  <c:v>47.8227808344617</c:v>
                </c:pt>
                <c:pt idx="118">
                  <c:v>47.5229241561856</c:v>
                </c:pt>
                <c:pt idx="119">
                  <c:v>47.2228175135434</c:v>
                </c:pt>
                <c:pt idx="120">
                  <c:v>46.9225398283462</c:v>
                </c:pt>
                <c:pt idx="121">
                  <c:v>46.6221704786962</c:v>
                </c:pt>
                <c:pt idx="122">
                  <c:v>46.321789090413</c:v>
                </c:pt>
                <c:pt idx="123">
                  <c:v>46.0214753274746</c:v>
                </c:pt>
                <c:pt idx="124">
                  <c:v>45.7213086823219</c:v>
                </c:pt>
                <c:pt idx="125">
                  <c:v>45.4213682668753</c:v>
                </c:pt>
                <c:pt idx="126">
                  <c:v>45.1217326051079</c:v>
                </c:pt>
                <c:pt idx="127">
                  <c:v>44.8224794280209</c:v>
                </c:pt>
                <c:pt idx="128">
                  <c:v>44.5236854718607</c:v>
                </c:pt>
                <c:pt idx="129">
                  <c:v>44.22542628041</c:v>
                </c:pt>
                <c:pt idx="130">
                  <c:v>43.9277760121801</c:v>
                </c:pt>
                <c:pt idx="131">
                  <c:v>43.6308072533163</c:v>
                </c:pt>
                <c:pt idx="132">
                  <c:v>43.3345908370169</c:v>
                </c:pt>
                <c:pt idx="133">
                  <c:v>43.0391956702423</c:v>
                </c:pt>
                <c:pt idx="134">
                  <c:v>42.7446885684776</c:v>
                </c:pt>
                <c:pt idx="135">
                  <c:v>42.4511340992693</c:v>
                </c:pt>
                <c:pt idx="136">
                  <c:v>42.158594435237</c:v>
                </c:pt>
                <c:pt idx="137">
                  <c:v>41.8671292172126</c:v>
                </c:pt>
                <c:pt idx="138">
                  <c:v>41.5767954281155</c:v>
                </c:pt>
                <c:pt idx="139">
                  <c:v>41.287647278123</c:v>
                </c:pt>
                <c:pt idx="140">
                  <c:v>40.9997361016322</c:v>
                </c:pt>
                <c:pt idx="141">
                  <c:v>40.7131102664488</c:v>
                </c:pt>
                <c:pt idx="142">
                  <c:v>40.4278150955657</c:v>
                </c:pt>
                <c:pt idx="143">
                  <c:v>40.1438928018191</c:v>
                </c:pt>
                <c:pt idx="144">
                  <c:v>39.8613824356287</c:v>
                </c:pt>
                <c:pt idx="145">
                  <c:v>39.5803198459457</c:v>
                </c:pt>
                <c:pt idx="146">
                  <c:v>39.3007376544434</c:v>
                </c:pt>
                <c:pt idx="147">
                  <c:v>39.0226652428957</c:v>
                </c:pt>
                <c:pt idx="148">
                  <c:v>38.7461287536013</c:v>
                </c:pt>
                <c:pt idx="149">
                  <c:v>38.4711511026187</c:v>
                </c:pt>
                <c:pt idx="150">
                  <c:v>38.1977520054915</c:v>
                </c:pt>
                <c:pt idx="151">
                  <c:v>37.9259480150572</c:v>
                </c:pt>
                <c:pt idx="152">
                  <c:v>37.6557525708531</c:v>
                </c:pt>
                <c:pt idx="153">
                  <c:v>37.3871760595568</c:v>
                </c:pt>
                <c:pt idx="154">
                  <c:v>37.120225885828</c:v>
                </c:pt>
                <c:pt idx="155">
                  <c:v>36.8549065528611</c:v>
                </c:pt>
                <c:pt idx="156">
                  <c:v>36.5912197518978</c:v>
                </c:pt>
                <c:pt idx="157">
                  <c:v>36.3291644599081</c:v>
                </c:pt>
                <c:pt idx="158">
                  <c:v>36.0687370446116</c:v>
                </c:pt>
                <c:pt idx="159">
                  <c:v>35.8099313759812</c:v>
                </c:pt>
                <c:pt idx="160">
                  <c:v>35.5527389433587</c:v>
                </c:pt>
                <c:pt idx="161">
                  <c:v>35.2971489772982</c:v>
                </c:pt>
                <c:pt idx="162">
                  <c:v>35.0431485752626</c:v>
                </c:pt>
                <c:pt idx="163">
                  <c:v>34.790722830298</c:v>
                </c:pt>
                <c:pt idx="164">
                  <c:v>34.5398549618412</c:v>
                </c:pt>
                <c:pt idx="165">
                  <c:v>34.2905264478319</c:v>
                </c:pt>
                <c:pt idx="166">
                  <c:v>34.0427171573408</c:v>
                </c:pt>
                <c:pt idx="167">
                  <c:v>33.7964054829592</c:v>
                </c:pt>
                <c:pt idx="168">
                  <c:v>33.5515684722462</c:v>
                </c:pt>
                <c:pt idx="169">
                  <c:v>33.3081819575706</c:v>
                </c:pt>
                <c:pt idx="170">
                  <c:v>33.0662206837457</c:v>
                </c:pt>
                <c:pt idx="171">
                  <c:v>32.825658432902</c:v>
                </c:pt>
                <c:pt idx="172">
                  <c:v>32.5864681461053</c:v>
                </c:pt>
                <c:pt idx="173">
                  <c:v>32.348622041282</c:v>
                </c:pt>
                <c:pt idx="174">
                  <c:v>32.1120917270718</c:v>
                </c:pt>
                <c:pt idx="175">
                  <c:v>31.8768483122839</c:v>
                </c:pt>
                <c:pt idx="176">
                  <c:v>31.642862510691</c:v>
                </c:pt>
                <c:pt idx="177">
                  <c:v>31.4101047409439</c:v>
                </c:pt>
                <c:pt idx="178">
                  <c:v>31.178545221448</c:v>
                </c:pt>
                <c:pt idx="179">
                  <c:v>30.9481540600835</c:v>
                </c:pt>
                <c:pt idx="180">
                  <c:v>30.7189013387037</c:v>
                </c:pt>
                <c:pt idx="181">
                  <c:v>30.4907571923832</c:v>
                </c:pt>
                <c:pt idx="182">
                  <c:v>30.2636918834289</c:v>
                </c:pt>
                <c:pt idx="183">
                  <c:v>30.0376758702012</c:v>
                </c:pt>
                <c:pt idx="184">
                  <c:v>29.8126798708242</c:v>
                </c:pt>
                <c:pt idx="185">
                  <c:v>29.5886749218917</c:v>
                </c:pt>
                <c:pt idx="186">
                  <c:v>29.3656324322999</c:v>
                </c:pt>
                <c:pt idx="187">
                  <c:v>29.1435242323602</c:v>
                </c:pt>
                <c:pt idx="188">
                  <c:v>28.9223226183597</c:v>
                </c:pt>
                <c:pt idx="189">
                  <c:v>28.7020003927563</c:v>
                </c:pt>
                <c:pt idx="190">
                  <c:v>28.4825309002018</c:v>
                </c:pt>
                <c:pt idx="191">
                  <c:v>28.2638880595992</c:v>
                </c:pt>
                <c:pt idx="192">
                  <c:v>28.0460463924054</c:v>
                </c:pt>
                <c:pt idx="193">
                  <c:v>27.8289810473919</c:v>
                </c:pt>
                <c:pt idx="194">
                  <c:v>27.612667822084</c:v>
                </c:pt>
                <c:pt idx="195">
                  <c:v>27.3970831810918</c:v>
                </c:pt>
                <c:pt idx="196">
                  <c:v>27.1822042715506</c:v>
                </c:pt>
                <c:pt idx="197">
                  <c:v>26.9680089358823</c:v>
                </c:pt>
                <c:pt idx="198">
                  <c:v>26.7544757220842</c:v>
                </c:pt>
                <c:pt idx="199">
                  <c:v>26.5415838917508</c:v>
                </c:pt>
                <c:pt idx="200">
                  <c:v>26.329313426021</c:v>
                </c:pt>
                <c:pt idx="201">
                  <c:v>26.1176450296421</c:v>
                </c:pt>
                <c:pt idx="202">
                  <c:v>25.9065601333337</c:v>
                </c:pt>
                <c:pt idx="203">
                  <c:v>25.6960408946192</c:v>
                </c:pt>
                <c:pt idx="204">
                  <c:v>25.4860701972975</c:v>
                </c:pt>
                <c:pt idx="205">
                  <c:v>25.2766316497042</c:v>
                </c:pt>
                <c:pt idx="206">
                  <c:v>25.0677095819164</c:v>
                </c:pt>
                <c:pt idx="207">
                  <c:v>24.8592890420346</c:v>
                </c:pt>
                <c:pt idx="208">
                  <c:v>24.6513557916742</c:v>
                </c:pt>
                <c:pt idx="209">
                  <c:v>24.4438963007883</c:v>
                </c:pt>
                <c:pt idx="210">
                  <c:v>24.2368977419334</c:v>
                </c:pt>
                <c:pt idx="211">
                  <c:v>24.0303479840811</c:v>
                </c:pt>
                <c:pt idx="212">
                  <c:v>23.8242355860753</c:v>
                </c:pt>
                <c:pt idx="213">
                  <c:v>23.6185497898178</c:v>
                </c:pt>
                <c:pt idx="214">
                  <c:v>23.4132805132665</c:v>
                </c:pt>
                <c:pt idx="215">
                  <c:v>23.2084183433159</c:v>
                </c:pt>
                <c:pt idx="216">
                  <c:v>23.0039545286262</c:v>
                </c:pt>
                <c:pt idx="217">
                  <c:v>22.7998809724581</c:v>
                </c:pt>
                <c:pt idx="218">
                  <c:v>22.5961902255644</c:v>
                </c:pt>
                <c:pt idx="219">
                  <c:v>22.3928754791836</c:v>
                </c:pt>
                <c:pt idx="220">
                  <c:v>22.1899305581722</c:v>
                </c:pt>
                <c:pt idx="221">
                  <c:v>21.9873499143077</c:v>
                </c:pt>
                <c:pt idx="222">
                  <c:v>21.7851286197888</c:v>
                </c:pt>
                <c:pt idx="223">
                  <c:v>21.5832623609517</c:v>
                </c:pt>
                <c:pt idx="224">
                  <c:v>21.3817474322165</c:v>
                </c:pt>
                <c:pt idx="225">
                  <c:v>21.1805807302734</c:v>
                </c:pt>
                <c:pt idx="226">
                  <c:v>20.9797597485106</c:v>
                </c:pt>
                <c:pt idx="227">
                  <c:v>20.7792825716829</c:v>
                </c:pt>
                <c:pt idx="228">
                  <c:v>20.5791478708122</c:v>
                </c:pt>
                <c:pt idx="229">
                  <c:v>20.3793548983093</c:v>
                </c:pt>
                <c:pt idx="230">
                  <c:v>20.1799034832969</c:v>
                </c:pt>
                <c:pt idx="231">
                  <c:v>19.9807940271136</c:v>
                </c:pt>
                <c:pt idx="232">
                  <c:v>19.7820274989694</c:v>
                </c:pt>
                <c:pt idx="233">
                  <c:v>19.5836054317205</c:v>
                </c:pt>
                <c:pt idx="234">
                  <c:v>19.385529917726</c:v>
                </c:pt>
                <c:pt idx="235">
                  <c:v>19.1878036047431</c:v>
                </c:pt>
                <c:pt idx="236">
                  <c:v>18.9904296918132</c:v>
                </c:pt>
                <c:pt idx="237">
                  <c:v>18.7934119250873</c:v>
                </c:pt>
                <c:pt idx="238">
                  <c:v>18.5967545935303</c:v>
                </c:pt>
                <c:pt idx="239">
                  <c:v>18.4004625244456</c:v>
                </c:pt>
                <c:pt idx="240">
                  <c:v>18.2045410787486</c:v>
                </c:pt>
                <c:pt idx="241">
                  <c:v>18.0089961459197</c:v>
                </c:pt>
                <c:pt idx="242">
                  <c:v>17.8138341385583</c:v>
                </c:pt>
                <c:pt idx="243">
                  <c:v>17.6190619864578</c:v>
                </c:pt>
                <c:pt idx="244">
                  <c:v>17.4246871301139</c:v>
                </c:pt>
                <c:pt idx="245">
                  <c:v>17.2307175135795</c:v>
                </c:pt>
                <c:pt idx="246">
                  <c:v>17.0371615765687</c:v>
                </c:pt>
                <c:pt idx="247">
                  <c:v>16.8440282457173</c:v>
                </c:pt>
                <c:pt idx="248">
                  <c:v>16.6513269248964</c:v>
                </c:pt>
                <c:pt idx="249">
                  <c:v>16.4590674844802</c:v>
                </c:pt>
                <c:pt idx="250">
                  <c:v>16.2672602494615</c:v>
                </c:pt>
                <c:pt idx="251">
                  <c:v>16.0759159863124</c:v>
                </c:pt>
                <c:pt idx="252">
                  <c:v>15.8850458884851</c:v>
                </c:pt>
                <c:pt idx="253">
                  <c:v>15.6946615604487</c:v>
                </c:pt>
                <c:pt idx="254">
                  <c:v>15.5047750001615</c:v>
                </c:pt>
                <c:pt idx="255">
                  <c:v>15.3153985798811</c:v>
                </c:pt>
                <c:pt idx="256">
                  <c:v>15.1265450252174</c:v>
                </c:pt>
                <c:pt idx="257">
                  <c:v>14.9382273923463</c:v>
                </c:pt>
                <c:pt idx="258">
                  <c:v>14.7504590433011</c:v>
                </c:pt>
                <c:pt idx="259">
                  <c:v>14.5632536192774</c:v>
                </c:pt>
                <c:pt idx="260">
                  <c:v>14.3766250118934</c:v>
                </c:pt>
                <c:pt idx="261">
                  <c:v>14.1905873323653</c:v>
                </c:pt>
                <c:pt idx="262">
                  <c:v>14.0051548785723</c:v>
                </c:pt>
                <c:pt idx="263">
                  <c:v>13.8203421000042</c:v>
                </c:pt>
                <c:pt idx="264">
                  <c:v>13.6361635606091</c:v>
                </c:pt>
                <c:pt idx="265">
                  <c:v>13.4526338995772</c:v>
                </c:pt>
                <c:pt idx="266">
                  <c:v>13.269767790128</c:v>
                </c:pt>
                <c:pt idx="267">
                  <c:v>13.0875798963935</c:v>
                </c:pt>
                <c:pt idx="268">
                  <c:v>12.9060848285231</c:v>
                </c:pt>
                <c:pt idx="269">
                  <c:v>12.7252970961663</c:v>
                </c:pt>
                <c:pt idx="270">
                  <c:v>12.5452310605285</c:v>
                </c:pt>
                <c:pt idx="271">
                  <c:v>12.3659008852271</c:v>
                </c:pt>
                <c:pt idx="272">
                  <c:v>12.1873204862181</c:v>
                </c:pt>
                <c:pt idx="273">
                  <c:v>12.009503481097</c:v>
                </c:pt>
                <c:pt idx="274">
                  <c:v>11.832463138124</c:v>
                </c:pt>
                <c:pt idx="275">
                  <c:v>11.6562123253557</c:v>
                </c:pt>
                <c:pt idx="276">
                  <c:v>11.4807634603088</c:v>
                </c:pt>
                <c:pt idx="277">
                  <c:v>11.3061284606173</c:v>
                </c:pt>
                <c:pt idx="278">
                  <c:v>11.1323186961773</c:v>
                </c:pt>
                <c:pt idx="279">
                  <c:v>10.9593449433072</c:v>
                </c:pt>
                <c:pt idx="280">
                  <c:v>10.7872173414784</c:v>
                </c:pt>
                <c:pt idx="281">
                  <c:v>10.6159453531916</c:v>
                </c:pt>
                <c:pt idx="282">
                  <c:v>10.4455377275937</c:v>
                </c:pt>
                <c:pt idx="283">
                  <c:v>10.2760024684375</c:v>
                </c:pt>
                <c:pt idx="284">
                  <c:v>10.1073468069898</c:v>
                </c:pt>
                <c:pt idx="285">
                  <c:v>9.93957718048618</c:v>
                </c:pt>
                <c:pt idx="286">
                  <c:v>9.77269921671589</c:v>
                </c:pt>
                <c:pt idx="287">
                  <c:v>9.60671772529477</c:v>
                </c:pt>
                <c:pt idx="288">
                  <c:v>9.44163669614701</c:v>
                </c:pt>
                <c:pt idx="289">
                  <c:v>9.27745930567204</c:v>
                </c:pt>
                <c:pt idx="290">
                  <c:v>9.11418793101411</c:v>
                </c:pt>
                <c:pt idx="291">
                  <c:v>8.95182417278617</c:v>
                </c:pt>
                <c:pt idx="292">
                  <c:v>8.79036888651839</c:v>
                </c:pt>
                <c:pt idx="293">
                  <c:v>8.62982222301874</c:v>
                </c:pt>
                <c:pt idx="294">
                  <c:v>8.47018367773173</c:v>
                </c:pt>
                <c:pt idx="295">
                  <c:v>8.31145214907947</c:v>
                </c:pt>
                <c:pt idx="296">
                  <c:v>8.15362600565865</c:v>
                </c:pt>
                <c:pt idx="297">
                  <c:v>7.99670316204917</c:v>
                </c:pt>
                <c:pt idx="298">
                  <c:v>7.8406811628731</c:v>
                </c:pt>
                <c:pt idx="299">
                  <c:v>7.68555727462148</c:v>
                </c:pt>
                <c:pt idx="300">
                  <c:v>7.53132858464551</c:v>
                </c:pt>
                <c:pt idx="301">
                  <c:v>7.37799210659407</c:v>
                </c:pt>
                <c:pt idx="302">
                  <c:v>7.22554489146698</c:v>
                </c:pt>
                <c:pt idx="303">
                  <c:v>7.07398414334555</c:v>
                </c:pt>
                <c:pt idx="304">
                  <c:v>6.92330733877199</c:v>
                </c:pt>
                <c:pt idx="305">
                  <c:v>6.77351234865836</c:v>
                </c:pt>
                <c:pt idx="306">
                  <c:v>6.62459756154014</c:v>
                </c:pt>
                <c:pt idx="307">
                  <c:v>6.4765620069266</c:v>
                </c:pt>
                <c:pt idx="308">
                  <c:v>6.32940547746227</c:v>
                </c:pt>
                <c:pt idx="309">
                  <c:v>6.18312864858782</c:v>
                </c:pt>
                <c:pt idx="310">
                  <c:v>6.03773319438081</c:v>
                </c:pt>
                <c:pt idx="311">
                  <c:v>5.89322189826739</c:v>
                </c:pt>
                <c:pt idx="312">
                  <c:v>5.74959875732153</c:v>
                </c:pt>
                <c:pt idx="313">
                  <c:v>5.60686907891973</c:v>
                </c:pt>
                <c:pt idx="314">
                  <c:v>5.46503956857177</c:v>
                </c:pt>
                <c:pt idx="315">
                  <c:v>5.32411840783418</c:v>
                </c:pt>
                <c:pt idx="316">
                  <c:v>5.18411532129933</c:v>
                </c:pt>
                <c:pt idx="317">
                  <c:v>5.04504163176055</c:v>
                </c:pt>
                <c:pt idx="318">
                  <c:v>4.90691030276881</c:v>
                </c:pt>
                <c:pt idx="319">
                  <c:v>4.76973596792347</c:v>
                </c:pt>
                <c:pt idx="320">
                  <c:v>4.63353494636955</c:v>
                </c:pt>
                <c:pt idx="321">
                  <c:v>4.498325244117</c:v>
                </c:pt>
                <c:pt idx="322">
                  <c:v>4.36412654093773</c:v>
                </c:pt>
                <c:pt idx="323">
                  <c:v>4.23096016273743</c:v>
                </c:pt>
                <c:pt idx="324">
                  <c:v>4.09884903944974</c:v>
                </c:pt>
                <c:pt idx="325">
                  <c:v>3.96781764863423</c:v>
                </c:pt>
                <c:pt idx="326">
                  <c:v>3.83789194510524</c:v>
                </c:pt>
                <c:pt idx="327">
                  <c:v>3.70909927704642</c:v>
                </c:pt>
                <c:pt idx="328">
                  <c:v>3.5814682891953</c:v>
                </c:pt>
                <c:pt idx="329">
                  <c:v>3.45502881380043</c:v>
                </c:pt>
                <c:pt idx="330">
                  <c:v>3.32981175016501</c:v>
                </c:pt>
                <c:pt idx="331">
                  <c:v>3.20584893369169</c:v>
                </c:pt>
                <c:pt idx="332">
                  <c:v>3.08317299543147</c:v>
                </c:pt>
                <c:pt idx="333">
                  <c:v>2.9618172132261</c:v>
                </c:pt>
                <c:pt idx="334">
                  <c:v>2.84181535559513</c:v>
                </c:pt>
                <c:pt idx="335">
                  <c:v>2.72320151958089</c:v>
                </c:pt>
                <c:pt idx="336">
                  <c:v>2.60600996380887</c:v>
                </c:pt>
                <c:pt idx="337">
                  <c:v>2.49027493805398</c:v>
                </c:pt>
                <c:pt idx="338">
                  <c:v>2.37603051062542</c:v>
                </c:pt>
                <c:pt idx="339">
                  <c:v>2.26331039489258</c:v>
                </c:pt>
                <c:pt idx="340">
                  <c:v>2.15214777627195</c:v>
                </c:pt>
                <c:pt idx="341">
                  <c:v>2.04257514097947</c:v>
                </c:pt>
                <c:pt idx="342">
                  <c:v>1.9346241078288</c:v>
                </c:pt>
                <c:pt idx="343">
                  <c:v>1.82832526431748</c:v>
                </c:pt>
                <c:pt idx="344">
                  <c:v>1.72370800819343</c:v>
                </c:pt>
                <c:pt idx="345">
                  <c:v>1.62080039563892</c:v>
                </c:pt>
                <c:pt idx="346">
                  <c:v>1.51962899713444</c:v>
                </c:pt>
                <c:pt idx="347">
                  <c:v>1.42021876199388</c:v>
                </c:pt>
                <c:pt idx="348">
                  <c:v>1.32259289246791</c:v>
                </c:pt>
                <c:pt idx="349">
                  <c:v>1.22677272822314</c:v>
                </c:pt>
                <c:pt idx="350">
                  <c:v>1.1327776419012</c:v>
                </c:pt>
                <c:pt idx="351">
                  <c:v>1.04062494635466</c:v>
                </c:pt>
                <c:pt idx="352">
                  <c:v>0.950329814045614</c:v>
                </c:pt>
                <c:pt idx="353">
                  <c:v>0.861905208977596</c:v>
                </c:pt>
                <c:pt idx="354">
                  <c:v>0.775361831415658</c:v>
                </c:pt>
                <c:pt idx="355">
                  <c:v>0.69070807553191</c:v>
                </c:pt>
                <c:pt idx="356">
                  <c:v>0.607949999996933</c:v>
                </c:pt>
                <c:pt idx="357">
                  <c:v>0.527091311424834</c:v>
                </c:pt>
                <c:pt idx="358">
                  <c:v>0.448133360469757</c:v>
                </c:pt>
                <c:pt idx="359">
                  <c:v>0.371075150265703</c:v>
                </c:pt>
                <c:pt idx="360">
                  <c:v>0.295913356801846</c:v>
                </c:pt>
                <c:pt idx="361">
                  <c:v>0.222642360738065</c:v>
                </c:pt>
                <c:pt idx="362">
                  <c:v>0.151254290076875</c:v>
                </c:pt>
                <c:pt idx="363">
                  <c:v>0.0817390730386839</c:v>
                </c:pt>
                <c:pt idx="364">
                  <c:v>0.0140845004210564</c:v>
                </c:pt>
                <c:pt idx="365">
                  <c:v>-0.0517237033312623</c:v>
                </c:pt>
                <c:pt idx="366">
                  <c:v>-0.115701801159768</c:v>
                </c:pt>
                <c:pt idx="367">
                  <c:v>-0.177867957377792</c:v>
                </c:pt>
                <c:pt idx="368">
                  <c:v>-0.238242145476818</c:v>
                </c:pt>
                <c:pt idx="369">
                  <c:v>-0.29684605063362</c:v>
                </c:pt>
                <c:pt idx="370">
                  <c:v>-0.35370296779925</c:v>
                </c:pt>
                <c:pt idx="371">
                  <c:v>-0.408837696242865</c:v>
                </c:pt>
                <c:pt idx="372">
                  <c:v>-0.462276431403426</c:v>
                </c:pt>
                <c:pt idx="373">
                  <c:v>-0.514046654881076</c:v>
                </c:pt>
                <c:pt idx="374">
                  <c:v>-0.56417702336188</c:v>
                </c:pt>
                <c:pt idx="375">
                  <c:v>-0.612697257233947</c:v>
                </c:pt>
                <c:pt idx="376">
                  <c:v>-0.659638029608931</c:v>
                </c:pt>
                <c:pt idx="377">
                  <c:v>-0.705030856409331</c:v>
                </c:pt>
                <c:pt idx="378">
                  <c:v>-0.748907988135092</c:v>
                </c:pt>
                <c:pt idx="379">
                  <c:v>-0.79130230386447</c:v>
                </c:pt>
                <c:pt idx="380">
                  <c:v>-0.832247207989824</c:v>
                </c:pt>
                <c:pt idx="381">
                  <c:v>-0.871776530128707</c:v>
                </c:pt>
                <c:pt idx="382">
                  <c:v>-0.909924428597799</c:v>
                </c:pt>
                <c:pt idx="383">
                  <c:v>-0.946725297777094</c:v>
                </c:pt>
                <c:pt idx="384">
                  <c:v>-0.982213679638491</c:v>
                </c:pt>
                <c:pt idx="385">
                  <c:v>-1.01642417965974</c:v>
                </c:pt>
                <c:pt idx="386">
                  <c:v>-1.04939138729385</c:v>
                </c:pt>
                <c:pt idx="387">
                  <c:v>-1.0811498011168</c:v>
                </c:pt>
                <c:pt idx="388">
                  <c:v>-1.11173375873063</c:v>
                </c:pt>
                <c:pt idx="389">
                  <c:v>-1.14117737145929</c:v>
                </c:pt>
                <c:pt idx="390">
                  <c:v>-1.16951446383545</c:v>
                </c:pt>
                <c:pt idx="391">
                  <c:v>-1.19677851784319</c:v>
                </c:pt>
                <c:pt idx="392">
                  <c:v>-1.22300262184945</c:v>
                </c:pt>
                <c:pt idx="393">
                  <c:v>-1.24821942413249</c:v>
                </c:pt>
                <c:pt idx="394">
                  <c:v>-1.27246109088967</c:v>
                </c:pt>
                <c:pt idx="395">
                  <c:v>-1.29575926858807</c:v>
                </c:pt>
                <c:pt idx="396">
                  <c:v>-1.3181450505027</c:v>
                </c:pt>
                <c:pt idx="397">
                  <c:v>-1.33964894727709</c:v>
                </c:pt>
                <c:pt idx="398">
                  <c:v>-1.36030086132497</c:v>
                </c:pt>
                <c:pt idx="399">
                  <c:v>-1.38013006488696</c:v>
                </c:pt>
                <c:pt idx="400">
                  <c:v>-1.3991651815489</c:v>
                </c:pt>
                <c:pt idx="401">
                  <c:v>-1.4174341710255</c:v>
                </c:pt>
                <c:pt idx="402">
                  <c:v>-1.43496431700837</c:v>
                </c:pt>
                <c:pt idx="403">
                  <c:v>-1.45178221788395</c:v>
                </c:pt>
                <c:pt idx="404">
                  <c:v>-1.46791378011986</c:v>
                </c:pt>
                <c:pt idx="405">
                  <c:v>-1.48338421412875</c:v>
                </c:pt>
                <c:pt idx="406">
                  <c:v>-1.49821803241913</c:v>
                </c:pt>
                <c:pt idx="407">
                  <c:v>-1.51243904984717</c:v>
                </c:pt>
                <c:pt idx="408">
                  <c:v>-1.52607038579179</c:v>
                </c:pt>
                <c:pt idx="409">
                  <c:v>-1.53913446808233</c:v>
                </c:pt>
                <c:pt idx="410">
                  <c:v>-1.55165303851037</c:v>
                </c:pt>
                <c:pt idx="411">
                  <c:v>-1.56364715977123</c:v>
                </c:pt>
                <c:pt idx="412">
                  <c:v>-1.57513722368488</c:v>
                </c:pt>
                <c:pt idx="413">
                  <c:v>-1.5861429605532</c:v>
                </c:pt>
                <c:pt idx="414">
                  <c:v>-1.5966834495226</c:v>
                </c:pt>
                <c:pt idx="415">
                  <c:v>-1.60677712982398</c:v>
                </c:pt>
                <c:pt idx="416">
                  <c:v>-1.6164418127745</c:v>
                </c:pt>
                <c:pt idx="417">
                  <c:v>-1.62569469443061</c:v>
                </c:pt>
                <c:pt idx="418">
                  <c:v>-1.63455236879095</c:v>
                </c:pt>
                <c:pt idx="419">
                  <c:v>-1.64303084145382</c:v>
                </c:pt>
                <c:pt idx="420">
                  <c:v>-1.65114554364449</c:v>
                </c:pt>
                <c:pt idx="421">
                  <c:v>-1.65891134652892</c:v>
                </c:pt>
                <c:pt idx="422">
                  <c:v>-1.66634257574308</c:v>
                </c:pt>
                <c:pt idx="423">
                  <c:v>-1.67345302606983</c:v>
                </c:pt>
                <c:pt idx="424">
                  <c:v>-1.68025597620152</c:v>
                </c:pt>
                <c:pt idx="425">
                  <c:v>-1.68676420353467</c:v>
                </c:pt>
                <c:pt idx="426">
                  <c:v>-1.69298999894589</c:v>
                </c:pt>
                <c:pt idx="427">
                  <c:v>-1.69894518150321</c:v>
                </c:pt>
                <c:pt idx="428">
                  <c:v>-1.70464111307453</c:v>
                </c:pt>
                <c:pt idx="429">
                  <c:v>-1.71008871279641</c:v>
                </c:pt>
                <c:pt idx="430">
                  <c:v>-1.71529847137237</c:v>
                </c:pt>
                <c:pt idx="431">
                  <c:v>-1.72028046517119</c:v>
                </c:pt>
                <c:pt idx="432">
                  <c:v>-1.72504437010437</c:v>
                </c:pt>
                <c:pt idx="433">
                  <c:v>-1.72959947525844</c:v>
                </c:pt>
                <c:pt idx="434">
                  <c:v>-1.73395469626664</c:v>
                </c:pt>
                <c:pt idx="435">
                  <c:v>-1.73811858840336</c:v>
                </c:pt>
                <c:pt idx="436">
                  <c:v>-1.74209935939071</c:v>
                </c:pt>
                <c:pt idx="437">
                  <c:v>-1.74590488190407</c:v>
                </c:pt>
                <c:pt idx="438">
                  <c:v>-1.7495427057727</c:v>
                </c:pt>
                <c:pt idx="439">
                  <c:v>-1.7530200698644</c:v>
                </c:pt>
                <c:pt idx="440">
                  <c:v>-1.75634391365441</c:v>
                </c:pt>
                <c:pt idx="441">
                  <c:v>-1.75952088847187</c:v>
                </c:pt>
                <c:pt idx="442">
                  <c:v>-1.76255736842549</c:v>
                </c:pt>
                <c:pt idx="443">
                  <c:v>-1.76545946100548</c:v>
                </c:pt>
                <c:pt idx="444">
                  <c:v>-1.76823301736528</c:v>
                </c:pt>
                <c:pt idx="445">
                  <c:v>-1.77088364228253</c:v>
                </c:pt>
                <c:pt idx="446">
                  <c:v>-1.77341670380428</c:v>
                </c:pt>
                <c:pt idx="447">
                  <c:v>-1.77583734257822</c:v>
                </c:pt>
                <c:pt idx="448">
                  <c:v>-1.77815048087517</c:v>
                </c:pt>
                <c:pt idx="449">
                  <c:v>-1.78036083130758</c:v>
                </c:pt>
                <c:pt idx="450">
                  <c:v>-1.78247290524929</c:v>
                </c:pt>
                <c:pt idx="451">
                  <c:v>-1.78449102096151</c:v>
                </c:pt>
                <c:pt idx="452">
                  <c:v>-1.78641931143244</c:v>
                </c:pt>
                <c:pt idx="453">
                  <c:v>-1.78826173193594</c:v>
                </c:pt>
                <c:pt idx="454">
                  <c:v>-1.79002206731637</c:v>
                </c:pt>
                <c:pt idx="455">
                  <c:v>-1.79170393900636</c:v>
                </c:pt>
                <c:pt idx="456">
                  <c:v>-1.7933108117837</c:v>
                </c:pt>
                <c:pt idx="457">
                  <c:v>-1.79484600027578</c:v>
                </c:pt>
                <c:pt idx="458">
                  <c:v>-1.796312675218</c:v>
                </c:pt>
                <c:pt idx="459">
                  <c:v>-1.79771386947207</c:v>
                </c:pt>
                <c:pt idx="460">
                  <c:v>-1.79905248381424</c:v>
                </c:pt>
                <c:pt idx="461">
                  <c:v>-1.80033129249792</c:v>
                </c:pt>
                <c:pt idx="462">
                  <c:v>-1.80155294859844</c:v>
                </c:pt>
                <c:pt idx="463">
                  <c:v>-1.80271998914837</c:v>
                </c:pt>
                <c:pt idx="464">
                  <c:v>-1.80383484006768</c:v>
                </c:pt>
                <c:pt idx="465">
                  <c:v>-1.80489982089876</c:v>
                </c:pt>
                <c:pt idx="466">
                  <c:v>-1.8059171493499</c:v>
                </c:pt>
                <c:pt idx="467">
                  <c:v>-1.80688894565647</c:v>
                </c:pt>
                <c:pt idx="468">
                  <c:v>-1.80781723676392</c:v>
                </c:pt>
                <c:pt idx="469">
                  <c:v>-1.80870396034129</c:v>
                </c:pt>
                <c:pt idx="470">
                  <c:v>-1.80955096862892</c:v>
                </c:pt>
                <c:pt idx="471">
                  <c:v>-1.81036003212901</c:v>
                </c:pt>
                <c:pt idx="472">
                  <c:v>-1.81113284314191</c:v>
                </c:pt>
                <c:pt idx="473">
                  <c:v>-1.81187101915719</c:v>
                </c:pt>
                <c:pt idx="474">
                  <c:v>-1.81257610610243</c:v>
                </c:pt>
                <c:pt idx="475">
                  <c:v>-1.81324958145557</c:v>
                </c:pt>
                <c:pt idx="476">
                  <c:v>-1.81389285722798</c:v>
                </c:pt>
                <c:pt idx="477">
                  <c:v>-1.81450728282027</c:v>
                </c:pt>
                <c:pt idx="478">
                  <c:v>-1.81509414775863</c:v>
                </c:pt>
                <c:pt idx="479">
                  <c:v>-1.81565468431428</c:v>
                </c:pt>
                <c:pt idx="480">
                  <c:v>-1.81619007001226</c:v>
                </c:pt>
                <c:pt idx="481">
                  <c:v>-1.81670143003251</c:v>
                </c:pt>
                <c:pt idx="482">
                  <c:v>-1.81718983950923</c:v>
                </c:pt>
                <c:pt idx="483">
                  <c:v>-1.81765632573046</c:v>
                </c:pt>
                <c:pt idx="484">
                  <c:v>-1.81810187024515</c:v>
                </c:pt>
                <c:pt idx="485">
                  <c:v>-1.81852741087715</c:v>
                </c:pt>
                <c:pt idx="486">
                  <c:v>-1.81893384365443</c:v>
                </c:pt>
                <c:pt idx="487">
                  <c:v>-1.8193220246536</c:v>
                </c:pt>
                <c:pt idx="488">
                  <c:v>-1.81969277176525</c:v>
                </c:pt>
                <c:pt idx="489">
                  <c:v>-1.82004686638238</c:v>
                </c:pt>
                <c:pt idx="490">
                  <c:v>-1.82038505501579</c:v>
                </c:pt>
                <c:pt idx="491">
                  <c:v>-1.82070805083847</c:v>
                </c:pt>
                <c:pt idx="492">
                  <c:v>-1.82101653516397</c:v>
                </c:pt>
                <c:pt idx="493">
                  <c:v>-1.82131115885877</c:v>
                </c:pt>
                <c:pt idx="494">
                  <c:v>-1.82159254369352</c:v>
                </c:pt>
                <c:pt idx="495">
                  <c:v>-1.82186128363593</c:v>
                </c:pt>
                <c:pt idx="496">
                  <c:v>-1.82211794608539</c:v>
                </c:pt>
                <c:pt idx="497">
                  <c:v>-1.82236307305486</c:v>
                </c:pt>
                <c:pt idx="498">
                  <c:v>-1.82259718230007</c:v>
                </c:pt>
                <c:pt idx="499">
                  <c:v>-1.82282076839894</c:v>
                </c:pt>
                <c:pt idx="500">
                  <c:v>-1.82303430378405</c:v>
                </c:pt>
                <c:pt idx="501">
                  <c:v>-1.82323823972957</c:v>
                </c:pt>
                <c:pt idx="502">
                  <c:v>-1.8234330072938</c:v>
                </c:pt>
                <c:pt idx="503">
                  <c:v>-1.82361901822104</c:v>
                </c:pt>
                <c:pt idx="504">
                  <c:v>-1.82379666580317</c:v>
                </c:pt>
                <c:pt idx="505">
                  <c:v>-1.82396632570328</c:v>
                </c:pt>
                <c:pt idx="506">
                  <c:v>-1.82412835674269</c:v>
                </c:pt>
                <c:pt idx="507">
                  <c:v>-1.82428310165317</c:v>
                </c:pt>
                <c:pt idx="508">
                  <c:v>-1.82443088779573</c:v>
                </c:pt>
                <c:pt idx="509">
                  <c:v>-1.82457202784774</c:v>
                </c:pt>
                <c:pt idx="510">
                  <c:v>-1.82470682045955</c:v>
                </c:pt>
                <c:pt idx="511">
                  <c:v>-1.8248355508811</c:v>
                </c:pt>
                <c:pt idx="512">
                  <c:v>-1.82495849156254</c:v>
                </c:pt>
                <c:pt idx="513">
                  <c:v>-1.82507590272606</c:v>
                </c:pt>
                <c:pt idx="514">
                  <c:v>-1.82518803291332</c:v>
                </c:pt>
                <c:pt idx="515">
                  <c:v>-1.82529511950889</c:v>
                </c:pt>
                <c:pt idx="516">
                  <c:v>-1.82539738923909</c:v>
                </c:pt>
                <c:pt idx="517">
                  <c:v>-1.82549505865035</c:v>
                </c:pt>
                <c:pt idx="518">
                  <c:v>-1.82558833456449</c:v>
                </c:pt>
                <c:pt idx="519">
                  <c:v>-1.82567741451445</c:v>
                </c:pt>
                <c:pt idx="520">
                  <c:v>-1.82576248716148</c:v>
                </c:pt>
                <c:pt idx="521">
                  <c:v>-1.82584373269187</c:v>
                </c:pt>
                <c:pt idx="522">
                  <c:v>-1.82592132319737</c:v>
                </c:pt>
                <c:pt idx="523">
                  <c:v>-1.82599542303836</c:v>
                </c:pt>
                <c:pt idx="524">
                  <c:v>-1.82606618918986</c:v>
                </c:pt>
                <c:pt idx="525">
                  <c:v>-1.82613377157384</c:v>
                </c:pt>
                <c:pt idx="526">
                  <c:v>-1.82619831337465</c:v>
                </c:pt>
                <c:pt idx="527">
                  <c:v>-1.82625995134244</c:v>
                </c:pt>
                <c:pt idx="528">
                  <c:v>-1.82631881608076</c:v>
                </c:pt>
                <c:pt idx="529">
                  <c:v>-1.82637503232307</c:v>
                </c:pt>
                <c:pt idx="530">
                  <c:v>-1.8264287191965</c:v>
                </c:pt>
                <c:pt idx="531">
                  <c:v>-1.82647999047264</c:v>
                </c:pt>
                <c:pt idx="532">
                  <c:v>-1.82652895480894</c:v>
                </c:pt>
                <c:pt idx="533">
                  <c:v>-1.8265757159777</c:v>
                </c:pt>
                <c:pt idx="534">
                  <c:v>-1.82662037308597</c:v>
                </c:pt>
                <c:pt idx="535">
                  <c:v>-1.82666302078463</c:v>
                </c:pt>
                <c:pt idx="536">
                  <c:v>-1.82670374946883</c:v>
                </c:pt>
                <c:pt idx="537">
                  <c:v>-1.826742645469</c:v>
                </c:pt>
                <c:pt idx="538">
                  <c:v>-1.82677979123348</c:v>
                </c:pt>
                <c:pt idx="539">
                  <c:v>-1.8268152655031</c:v>
                </c:pt>
                <c:pt idx="540">
                  <c:v>-1.82684914347768</c:v>
                </c:pt>
                <c:pt idx="541">
                  <c:v>-1.82688149697493</c:v>
                </c:pt>
              </c:numCache>
            </c:numRef>
          </c:yVal>
          <c:smooth val="1"/>
        </c:ser>
        <c:dLbls>
          <c:showLegendKey val="0"/>
          <c:showVal val="0"/>
          <c:showCatName val="0"/>
          <c:showSerName val="0"/>
          <c:showPercent val="0"/>
          <c:showBubbleSize val="0"/>
        </c:dLbls>
        <c:axId val="178901376"/>
        <c:axId val="178903296"/>
      </c:scatterChart>
      <c:scatterChart>
        <c:scatterStyle val="smooth"/>
        <c:varyColors val="0"/>
        <c:ser>
          <c:idx val="1"/>
          <c:order val="1"/>
          <c:spPr>
            <a:ln w="38100" cap="rnd" cmpd="sng" algn="ctr">
              <a:solidFill>
                <a:schemeClr val="tx1">
                  <a:lumMod val="95000"/>
                  <a:lumOff val="5000"/>
                </a:schemeClr>
              </a:solidFill>
              <a:prstDash val="sysDash"/>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Loop_Modeling!$BK$19:$BK$560</c:f>
              <c:numCache>
                <c:formatCode>General</c:formatCode>
                <c:ptCount val="542"/>
                <c:pt idx="0">
                  <c:v>85.9341680684664</c:v>
                </c:pt>
                <c:pt idx="1">
                  <c:v>85.8405248925673</c:v>
                </c:pt>
                <c:pt idx="2">
                  <c:v>85.7447756893238</c:v>
                </c:pt>
                <c:pt idx="3">
                  <c:v>85.6468766889806</c:v>
                </c:pt>
                <c:pt idx="4">
                  <c:v>85.5467834691902</c:v>
                </c:pt>
                <c:pt idx="5">
                  <c:v>85.4444509647294</c:v>
                </c:pt>
                <c:pt idx="6">
                  <c:v>85.3398334790692</c:v>
                </c:pt>
                <c:pt idx="7">
                  <c:v>85.2328846979367</c:v>
                </c:pt>
                <c:pt idx="8">
                  <c:v>85.1235577050204</c:v>
                </c:pt>
                <c:pt idx="9">
                  <c:v>85.0118049999761</c:v>
                </c:pt>
                <c:pt idx="10">
                  <c:v>84.8975785188998</c:v>
                </c:pt>
                <c:pt idx="11">
                  <c:v>84.7808296574447</c:v>
                </c:pt>
                <c:pt idx="12">
                  <c:v>84.6615092967668</c:v>
                </c:pt>
                <c:pt idx="13">
                  <c:v>84.5395678324951</c:v>
                </c:pt>
                <c:pt idx="14">
                  <c:v>84.4149552069307</c:v>
                </c:pt>
                <c:pt idx="15">
                  <c:v>84.2876209446899</c:v>
                </c:pt>
                <c:pt idx="16">
                  <c:v>84.1575141920192</c:v>
                </c:pt>
                <c:pt idx="17">
                  <c:v>84.024583760015</c:v>
                </c:pt>
                <c:pt idx="18">
                  <c:v>83.8887781719967</c:v>
                </c:pt>
                <c:pt idx="19">
                  <c:v>83.75004571529</c:v>
                </c:pt>
                <c:pt idx="20">
                  <c:v>83.6083344976889</c:v>
                </c:pt>
                <c:pt idx="21">
                  <c:v>83.4635925088726</c:v>
                </c:pt>
                <c:pt idx="22">
                  <c:v>83.3157676870675</c:v>
                </c:pt>
                <c:pt idx="23">
                  <c:v>83.1648079912524</c:v>
                </c:pt>
                <c:pt idx="24">
                  <c:v>83.0106614792129</c:v>
                </c:pt>
                <c:pt idx="25">
                  <c:v>82.8532763917635</c:v>
                </c:pt>
                <c:pt idx="26">
                  <c:v>82.6926012434608</c:v>
                </c:pt>
                <c:pt idx="27">
                  <c:v>82.5285849201397</c:v>
                </c:pt>
                <c:pt idx="28">
                  <c:v>82.3611767836114</c:v>
                </c:pt>
                <c:pt idx="29">
                  <c:v>82.1903267838646</c:v>
                </c:pt>
                <c:pt idx="30">
                  <c:v>82.0159855791184</c:v>
                </c:pt>
                <c:pt idx="31">
                  <c:v>81.8381046640722</c:v>
                </c:pt>
                <c:pt idx="32">
                  <c:v>81.6566365067031</c:v>
                </c:pt>
                <c:pt idx="33">
                  <c:v>81.4715346939528</c:v>
                </c:pt>
                <c:pt idx="34">
                  <c:v>81.2827540866471</c:v>
                </c:pt>
                <c:pt idx="35">
                  <c:v>81.0902509839764</c:v>
                </c:pt>
                <c:pt idx="36">
                  <c:v>80.8939832978611</c:v>
                </c:pt>
                <c:pt idx="37">
                  <c:v>80.6939107375037</c:v>
                </c:pt>
                <c:pt idx="38">
                  <c:v>80.4899950044161</c:v>
                </c:pt>
                <c:pt idx="39">
                  <c:v>80.2821999981845</c:v>
                </c:pt>
                <c:pt idx="40">
                  <c:v>80.0704920332069</c:v>
                </c:pt>
                <c:pt idx="41">
                  <c:v>79.8548400666005</c:v>
                </c:pt>
                <c:pt idx="42">
                  <c:v>79.6352159374464</c:v>
                </c:pt>
                <c:pt idx="43">
                  <c:v>79.4115946174822</c:v>
                </c:pt>
                <c:pt idx="44">
                  <c:v>79.1839544733083</c:v>
                </c:pt>
                <c:pt idx="45">
                  <c:v>78.9522775401121</c:v>
                </c:pt>
                <c:pt idx="46">
                  <c:v>78.7165498068479</c:v>
                </c:pt>
                <c:pt idx="47">
                  <c:v>78.4767615127346</c:v>
                </c:pt>
                <c:pt idx="48">
                  <c:v>78.2329074548521</c:v>
                </c:pt>
                <c:pt idx="49">
                  <c:v>77.9849873065252</c:v>
                </c:pt>
                <c:pt idx="50">
                  <c:v>77.7330059460835</c:v>
                </c:pt>
                <c:pt idx="51">
                  <c:v>77.4769737954774</c:v>
                </c:pt>
                <c:pt idx="52">
                  <c:v>77.2169071681117</c:v>
                </c:pt>
                <c:pt idx="53">
                  <c:v>76.9528286251317</c:v>
                </c:pt>
                <c:pt idx="54">
                  <c:v>76.6847673392623</c:v>
                </c:pt>
                <c:pt idx="55">
                  <c:v>76.4127594651523</c:v>
                </c:pt>
                <c:pt idx="56">
                  <c:v>76.1368485150315</c:v>
                </c:pt>
                <c:pt idx="57">
                  <c:v>75.8570857383203</c:v>
                </c:pt>
                <c:pt idx="58">
                  <c:v>75.5735305036724</c:v>
                </c:pt>
                <c:pt idx="59">
                  <c:v>75.2862506817555</c:v>
                </c:pt>
                <c:pt idx="60">
                  <c:v>74.9953230269037</c:v>
                </c:pt>
                <c:pt idx="61">
                  <c:v>74.7008335555932</c:v>
                </c:pt>
                <c:pt idx="62">
                  <c:v>74.4028779195163</c:v>
                </c:pt>
                <c:pt idx="63">
                  <c:v>74.1015617708542</c:v>
                </c:pt>
                <c:pt idx="64">
                  <c:v>73.7970011171668</c:v>
                </c:pt>
                <c:pt idx="65">
                  <c:v>73.489322663162</c:v>
                </c:pt>
                <c:pt idx="66">
                  <c:v>73.178664136436</c:v>
                </c:pt>
                <c:pt idx="67">
                  <c:v>72.865174594137</c:v>
                </c:pt>
                <c:pt idx="68">
                  <c:v>72.5490147073701</c:v>
                </c:pt>
                <c:pt idx="69">
                  <c:v>72.2303570200442</c:v>
                </c:pt>
                <c:pt idx="70">
                  <c:v>71.9093861787761</c:v>
                </c:pt>
                <c:pt idx="71">
                  <c:v>71.5862991303917</c:v>
                </c:pt>
                <c:pt idx="72">
                  <c:v>71.2613052835311</c:v>
                </c:pt>
                <c:pt idx="73">
                  <c:v>70.9346266308545</c:v>
                </c:pt>
                <c:pt idx="74">
                  <c:v>70.6064978283773</c:v>
                </c:pt>
                <c:pt idx="75">
                  <c:v>70.2771662285187</c:v>
                </c:pt>
                <c:pt idx="76">
                  <c:v>69.9468918635706</c:v>
                </c:pt>
                <c:pt idx="77">
                  <c:v>69.6159473764224</c:v>
                </c:pt>
                <c:pt idx="78">
                  <c:v>69.2846178955891</c:v>
                </c:pt>
                <c:pt idx="79">
                  <c:v>68.9532008518093</c:v>
                </c:pt>
                <c:pt idx="80">
                  <c:v>68.6220057337768</c:v>
                </c:pt>
                <c:pt idx="81">
                  <c:v>68.2913537808897</c:v>
                </c:pt>
                <c:pt idx="82">
                  <c:v>67.9615776112701</c:v>
                </c:pt>
                <c:pt idx="83">
                  <c:v>67.6330207837248</c:v>
                </c:pt>
                <c:pt idx="84">
                  <c:v>67.3060372927613</c:v>
                </c:pt>
                <c:pt idx="85">
                  <c:v>66.9809909962603</c:v>
                </c:pt>
                <c:pt idx="86">
                  <c:v>66.6582549759181</c:v>
                </c:pt>
                <c:pt idx="87">
                  <c:v>66.3382108311085</c:v>
                </c:pt>
                <c:pt idx="88">
                  <c:v>66.0212479073643</c:v>
                </c:pt>
                <c:pt idx="89">
                  <c:v>65.7077624612493</c:v>
                </c:pt>
                <c:pt idx="90">
                  <c:v>65.3981567639476</c:v>
                </c:pt>
                <c:pt idx="91">
                  <c:v>65.0928381464683</c:v>
                </c:pt>
                <c:pt idx="92">
                  <c:v>64.7922179899036</c:v>
                </c:pt>
                <c:pt idx="93">
                  <c:v>64.4967106647092</c:v>
                </c:pt>
                <c:pt idx="94">
                  <c:v>64.2067324234733</c:v>
                </c:pt>
                <c:pt idx="95">
                  <c:v>63.9227002520998</c:v>
                </c:pt>
                <c:pt idx="96">
                  <c:v>63.6450306847522</c:v>
                </c:pt>
                <c:pt idx="97">
                  <c:v>63.3741385882742</c:v>
                </c:pt>
                <c:pt idx="98">
                  <c:v>63.1104359221162</c:v>
                </c:pt>
                <c:pt idx="99">
                  <c:v>62.854330480056</c:v>
                </c:pt>
                <c:pt idx="100">
                  <c:v>62.6062246201993</c:v>
                </c:pt>
                <c:pt idx="101">
                  <c:v>62.3665139898709</c:v>
                </c:pt>
                <c:pt idx="102">
                  <c:v>62.1355862520983</c:v>
                </c:pt>
                <c:pt idx="103">
                  <c:v>61.9138198203617</c:v>
                </c:pt>
                <c:pt idx="104">
                  <c:v>61.7015826082747</c:v>
                </c:pt>
                <c:pt idx="105">
                  <c:v>61.4992308007129</c:v>
                </c:pt>
                <c:pt idx="106">
                  <c:v>61.3071076527639</c:v>
                </c:pt>
                <c:pt idx="107">
                  <c:v>61.1255423226612</c:v>
                </c:pt>
                <c:pt idx="108">
                  <c:v>60.9548487445949</c:v>
                </c:pt>
                <c:pt idx="109">
                  <c:v>60.7953245470165</c:v>
                </c:pt>
                <c:pt idx="110">
                  <c:v>60.6472500217247</c:v>
                </c:pt>
                <c:pt idx="111">
                  <c:v>60.5108871486736</c:v>
                </c:pt>
                <c:pt idx="112">
                  <c:v>60.3864786810792</c:v>
                </c:pt>
                <c:pt idx="113">
                  <c:v>60.2742472950224</c:v>
                </c:pt>
                <c:pt idx="114">
                  <c:v>60.1743948073705</c:v>
                </c:pt>
                <c:pt idx="115">
                  <c:v>60.0871014654347</c:v>
                </c:pt>
                <c:pt idx="116">
                  <c:v>60.012525311418</c:v>
                </c:pt>
                <c:pt idx="117">
                  <c:v>59.9508016243088</c:v>
                </c:pt>
                <c:pt idx="118">
                  <c:v>59.9020424415163</c:v>
                </c:pt>
                <c:pt idx="119">
                  <c:v>59.8663361621693</c:v>
                </c:pt>
                <c:pt idx="120">
                  <c:v>59.8437472336494</c:v>
                </c:pt>
                <c:pt idx="121">
                  <c:v>59.834315922582</c:v>
                </c:pt>
                <c:pt idx="122">
                  <c:v>59.8380581711664</c:v>
                </c:pt>
                <c:pt idx="123">
                  <c:v>59.854965539392</c:v>
                </c:pt>
                <c:pt idx="124">
                  <c:v>59.8850052333629</c:v>
                </c:pt>
                <c:pt idx="125">
                  <c:v>59.9281202196213</c:v>
                </c:pt>
                <c:pt idx="126">
                  <c:v>59.9842294250269</c:v>
                </c:pt>
                <c:pt idx="127">
                  <c:v>60.053228021426</c:v>
                </c:pt>
                <c:pt idx="128">
                  <c:v>60.1349877940031</c:v>
                </c:pt>
                <c:pt idx="129">
                  <c:v>60.2293575918568</c:v>
                </c:pt>
                <c:pt idx="130">
                  <c:v>60.3361638589991</c:v>
                </c:pt>
                <c:pt idx="131">
                  <c:v>60.4552112436092</c:v>
                </c:pt>
                <c:pt idx="132">
                  <c:v>60.5862832830027</c:v>
                </c:pt>
                <c:pt idx="133">
                  <c:v>60.7291431614005</c:v>
                </c:pt>
                <c:pt idx="134">
                  <c:v>60.8835345371987</c:v>
                </c:pt>
                <c:pt idx="135">
                  <c:v>61.0491824360514</c:v>
                </c:pt>
                <c:pt idx="136">
                  <c:v>61.2257942056971</c:v>
                </c:pt>
                <c:pt idx="137">
                  <c:v>61.413060528072</c:v>
                </c:pt>
                <c:pt idx="138">
                  <c:v>61.6106564838958</c:v>
                </c:pt>
                <c:pt idx="139">
                  <c:v>61.8182426645453</c:v>
                </c:pt>
                <c:pt idx="140">
                  <c:v>62.0354663257174</c:v>
                </c:pt>
                <c:pt idx="141">
                  <c:v>62.2619625770678</c:v>
                </c:pt>
                <c:pt idx="142">
                  <c:v>62.4973556017469</c:v>
                </c:pt>
                <c:pt idx="143">
                  <c:v>62.7412598995317</c:v>
                </c:pt>
                <c:pt idx="144">
                  <c:v>62.9932815470672</c:v>
                </c:pt>
                <c:pt idx="145">
                  <c:v>63.2530194686031</c:v>
                </c:pt>
                <c:pt idx="146">
                  <c:v>63.5200667105416</c:v>
                </c:pt>
                <c:pt idx="147">
                  <c:v>63.7940117130953</c:v>
                </c:pt>
                <c:pt idx="148">
                  <c:v>64.0744395724086</c:v>
                </c:pt>
                <c:pt idx="149">
                  <c:v>64.3609332865984</c:v>
                </c:pt>
                <c:pt idx="150">
                  <c:v>64.6530749793599</c:v>
                </c:pt>
                <c:pt idx="151">
                  <c:v>64.9504470950021</c:v>
                </c:pt>
                <c:pt idx="152">
                  <c:v>65.2526335590896</c:v>
                </c:pt>
                <c:pt idx="153">
                  <c:v>65.5592208992077</c:v>
                </c:pt>
                <c:pt idx="154">
                  <c:v>65.8697993207793</c:v>
                </c:pt>
                <c:pt idx="155">
                  <c:v>66.1839637332995</c:v>
                </c:pt>
                <c:pt idx="156">
                  <c:v>66.5013147228496</c:v>
                </c:pt>
                <c:pt idx="157">
                  <c:v>66.8214594672679</c:v>
                </c:pt>
                <c:pt idx="158">
                  <c:v>67.1440125908864</c:v>
                </c:pt>
                <c:pt idx="159">
                  <c:v>67.4685969563167</c:v>
                </c:pt>
                <c:pt idx="160">
                  <c:v>67.7948443913157</c:v>
                </c:pt>
                <c:pt idx="161">
                  <c:v>68.1223963493424</c:v>
                </c:pt>
                <c:pt idx="162">
                  <c:v>68.4509045029608</c:v>
                </c:pt>
                <c:pt idx="163">
                  <c:v>68.7800312697965</c:v>
                </c:pt>
                <c:pt idx="164">
                  <c:v>69.1094502712718</c:v>
                </c:pt>
                <c:pt idx="165">
                  <c:v>69.4388467248321</c:v>
                </c:pt>
                <c:pt idx="166">
                  <c:v>69.7679177708512</c:v>
                </c:pt>
                <c:pt idx="167">
                  <c:v>70.0963727358133</c:v>
                </c:pt>
                <c:pt idx="168">
                  <c:v>70.4239333337618</c:v>
                </c:pt>
                <c:pt idx="169">
                  <c:v>70.7503338083407</c:v>
                </c:pt>
                <c:pt idx="170">
                  <c:v>71.0753210180643</c:v>
                </c:pt>
                <c:pt idx="171">
                  <c:v>71.3986544676813</c:v>
                </c:pt>
                <c:pt idx="172">
                  <c:v>71.7201062887287</c:v>
                </c:pt>
                <c:pt idx="173">
                  <c:v>72.0394611725182</c:v>
                </c:pt>
                <c:pt idx="174">
                  <c:v>72.3565162589234</c:v>
                </c:pt>
                <c:pt idx="175">
                  <c:v>72.671080984415</c:v>
                </c:pt>
                <c:pt idx="176">
                  <c:v>72.9829768928247</c:v>
                </c:pt>
                <c:pt idx="177">
                  <c:v>73.2920374123312</c:v>
                </c:pt>
                <c:pt idx="178">
                  <c:v>73.5981076021241</c:v>
                </c:pt>
                <c:pt idx="179">
                  <c:v>73.9010438721463</c:v>
                </c:pt>
                <c:pt idx="180">
                  <c:v>74.2007136792285</c:v>
                </c:pt>
                <c:pt idx="181">
                  <c:v>74.4969952028274</c:v>
                </c:pt>
                <c:pt idx="182">
                  <c:v>74.7897770034382</c:v>
                </c:pt>
                <c:pt idx="183">
                  <c:v>75.0789576666236</c:v>
                </c:pt>
                <c:pt idx="184">
                  <c:v>75.3644454354349</c:v>
                </c:pt>
                <c:pt idx="185">
                  <c:v>75.6461578338389</c:v>
                </c:pt>
                <c:pt idx="186">
                  <c:v>75.9240212835872</c:v>
                </c:pt>
                <c:pt idx="187">
                  <c:v>76.1979707167909</c:v>
                </c:pt>
                <c:pt idx="188">
                  <c:v>76.4679491862819</c:v>
                </c:pt>
                <c:pt idx="189">
                  <c:v>76.7339074756597</c:v>
                </c:pt>
                <c:pt idx="190">
                  <c:v>76.9958037107473</c:v>
                </c:pt>
                <c:pt idx="191">
                  <c:v>77.2536029740065</c:v>
                </c:pt>
                <c:pt idx="192">
                  <c:v>77.5072769232889</c:v>
                </c:pt>
                <c:pt idx="193">
                  <c:v>77.756803416138</c:v>
                </c:pt>
                <c:pt idx="194">
                  <c:v>78.0021661407027</c:v>
                </c:pt>
                <c:pt idx="195">
                  <c:v>78.2433542541691</c:v>
                </c:pt>
                <c:pt idx="196">
                  <c:v>78.48036202948</c:v>
                </c:pt>
                <c:pt idx="197">
                  <c:v>78.7131885109801</c:v>
                </c:pt>
                <c:pt idx="198">
                  <c:v>78.9418371794945</c:v>
                </c:pt>
                <c:pt idx="199">
                  <c:v>79.1663156272453</c:v>
                </c:pt>
                <c:pt idx="200">
                  <c:v>79.3866352428914</c:v>
                </c:pt>
                <c:pt idx="201">
                  <c:v>79.6028109068928</c:v>
                </c:pt>
                <c:pt idx="202">
                  <c:v>79.8148606972997</c:v>
                </c:pt>
                <c:pt idx="203">
                  <c:v>80.0228056059964</c:v>
                </c:pt>
                <c:pt idx="204">
                  <c:v>80.2266692653498</c:v>
                </c:pt>
                <c:pt idx="205">
                  <c:v>80.4264776851532</c:v>
                </c:pt>
                <c:pt idx="206">
                  <c:v>80.6222589996921</c:v>
                </c:pt>
                <c:pt idx="207">
                  <c:v>80.8140432247118</c:v>
                </c:pt>
                <c:pt idx="208">
                  <c:v>81.0018620240207</c:v>
                </c:pt>
                <c:pt idx="209">
                  <c:v>81.1857484854187</c:v>
                </c:pt>
                <c:pt idx="210">
                  <c:v>81.3657369056175</c:v>
                </c:pt>
                <c:pt idx="211">
                  <c:v>81.5418625837741</c:v>
                </c:pt>
                <c:pt idx="212">
                  <c:v>81.7141616232517</c:v>
                </c:pt>
                <c:pt idx="213">
                  <c:v>81.8826707411868</c:v>
                </c:pt>
                <c:pt idx="214">
                  <c:v>82.0474270854349</c:v>
                </c:pt>
                <c:pt idx="215">
                  <c:v>82.2084680584487</c:v>
                </c:pt>
                <c:pt idx="216">
                  <c:v>82.3658311476331</c:v>
                </c:pt>
                <c:pt idx="217">
                  <c:v>82.5195537617144</c:v>
                </c:pt>
                <c:pt idx="218">
                  <c:v>82.6696730726584</c:v>
                </c:pt>
                <c:pt idx="219">
                  <c:v>82.8162258626636</c:v>
                </c:pt>
                <c:pt idx="220">
                  <c:v>82.9592483757603</c:v>
                </c:pt>
                <c:pt idx="221">
                  <c:v>83.0987761735458</c:v>
                </c:pt>
                <c:pt idx="222">
                  <c:v>83.2348439945883</c:v>
                </c:pt>
                <c:pt idx="223">
                  <c:v>83.3674856170373</c:v>
                </c:pt>
                <c:pt idx="224">
                  <c:v>83.496733723981</c:v>
                </c:pt>
                <c:pt idx="225">
                  <c:v>83.6226197711058</c:v>
                </c:pt>
                <c:pt idx="226">
                  <c:v>83.7451738562132</c:v>
                </c:pt>
                <c:pt idx="227">
                  <c:v>83.8644245901627</c:v>
                </c:pt>
                <c:pt idx="228">
                  <c:v>83.9803989688243</c:v>
                </c:pt>
                <c:pt idx="229">
                  <c:v>84.0931222456283</c:v>
                </c:pt>
                <c:pt idx="230">
                  <c:v>84.2026178043223</c:v>
                </c:pt>
                <c:pt idx="231">
                  <c:v>84.3089070315562</c:v>
                </c:pt>
                <c:pt idx="232">
                  <c:v>84.4120091889322</c:v>
                </c:pt>
                <c:pt idx="233">
                  <c:v>84.5119412841804</c:v>
                </c:pt>
                <c:pt idx="234">
                  <c:v>84.6087179411349</c:v>
                </c:pt>
                <c:pt idx="235">
                  <c:v>84.7023512682124</c:v>
                </c:pt>
                <c:pt idx="236">
                  <c:v>84.7928507251196</c:v>
                </c:pt>
                <c:pt idx="237">
                  <c:v>84.8802229875382</c:v>
                </c:pt>
                <c:pt idx="238">
                  <c:v>84.9644718095749</c:v>
                </c:pt>
                <c:pt idx="239">
                  <c:v>85.0455978837878</c:v>
                </c:pt>
                <c:pt idx="240">
                  <c:v>85.1235986986414</c:v>
                </c:pt>
                <c:pt idx="241">
                  <c:v>85.1984683932807</c:v>
                </c:pt>
                <c:pt idx="242">
                  <c:v>85.270197609559</c:v>
                </c:pt>
                <c:pt idx="243">
                  <c:v>85.3387733412962</c:v>
                </c:pt>
                <c:pt idx="244">
                  <c:v>85.4041787808044</c:v>
                </c:pt>
                <c:pt idx="245">
                  <c:v>85.4663931627613</c:v>
                </c:pt>
                <c:pt idx="246">
                  <c:v>85.5253916055847</c:v>
                </c:pt>
                <c:pt idx="247">
                  <c:v>85.5811449505168</c:v>
                </c:pt>
                <c:pt idx="248">
                  <c:v>85.6336195987009</c:v>
                </c:pt>
                <c:pt idx="249">
                  <c:v>85.6827773466099</c:v>
                </c:pt>
                <c:pt idx="250">
                  <c:v>85.7285752202645</c:v>
                </c:pt>
                <c:pt idx="251">
                  <c:v>85.7709653087624</c:v>
                </c:pt>
                <c:pt idx="252">
                  <c:v>85.8098945977387</c:v>
                </c:pt>
                <c:pt idx="253">
                  <c:v>85.845304803465</c:v>
                </c:pt>
                <c:pt idx="254">
                  <c:v>85.8771322083979</c:v>
                </c:pt>
                <c:pt idx="255">
                  <c:v>85.9053074991017</c:v>
                </c:pt>
                <c:pt idx="256">
                  <c:v>85.9297556075601</c:v>
                </c:pt>
                <c:pt idx="257">
                  <c:v>85.9503955570277</c:v>
                </c:pt>
                <c:pt idx="258">
                  <c:v>85.9671403136641</c:v>
                </c:pt>
                <c:pt idx="259">
                  <c:v>85.9798966453298</c:v>
                </c:pt>
                <c:pt idx="260">
                  <c:v>85.9885649890226</c:v>
                </c:pt>
                <c:pt idx="261">
                  <c:v>85.9930393285599</c:v>
                </c:pt>
                <c:pt idx="262">
                  <c:v>85.9932070842208</c:v>
                </c:pt>
                <c:pt idx="263">
                  <c:v>85.9889490161693</c:v>
                </c:pt>
                <c:pt idx="264">
                  <c:v>85.9801391435837</c:v>
                </c:pt>
                <c:pt idx="265">
                  <c:v>85.9666446815101</c:v>
                </c:pt>
                <c:pt idx="266">
                  <c:v>85.9483259975372</c:v>
                </c:pt>
                <c:pt idx="267">
                  <c:v>85.9250365904663</c:v>
                </c:pt>
                <c:pt idx="268">
                  <c:v>85.8966230931892</c:v>
                </c:pt>
                <c:pt idx="269">
                  <c:v>85.8629253020385</c:v>
                </c:pt>
                <c:pt idx="270">
                  <c:v>85.8237762348694</c:v>
                </c:pt>
                <c:pt idx="271">
                  <c:v>85.7790022201308</c:v>
                </c:pt>
                <c:pt idx="272">
                  <c:v>85.7284230191395</c:v>
                </c:pt>
                <c:pt idx="273">
                  <c:v>85.6718519837007</c:v>
                </c:pt>
                <c:pt idx="274">
                  <c:v>85.6090962511148</c:v>
                </c:pt>
                <c:pt idx="275">
                  <c:v>85.5399569784769</c:v>
                </c:pt>
                <c:pt idx="276">
                  <c:v>85.4642296179948</c:v>
                </c:pt>
                <c:pt idx="277">
                  <c:v>85.3817042348452</c:v>
                </c:pt>
                <c:pt idx="278">
                  <c:v>85.2921658688298</c:v>
                </c:pt>
                <c:pt idx="279">
                  <c:v>85.1953949408108</c:v>
                </c:pt>
                <c:pt idx="280">
                  <c:v>85.0911677045661</c:v>
                </c:pt>
                <c:pt idx="281">
                  <c:v>84.979256744348</c:v>
                </c:pt>
                <c:pt idx="282">
                  <c:v>84.8594315180226</c:v>
                </c:pt>
                <c:pt idx="283">
                  <c:v>84.7314589452338</c:v>
                </c:pt>
                <c:pt idx="284">
                  <c:v>84.5951040395768</c:v>
                </c:pt>
                <c:pt idx="285">
                  <c:v>84.4501305832839</c:v>
                </c:pt>
                <c:pt idx="286">
                  <c:v>84.2963018424243</c:v>
                </c:pt>
                <c:pt idx="287">
                  <c:v>84.1333813201104</c:v>
                </c:pt>
                <c:pt idx="288">
                  <c:v>83.9611335446975</c:v>
                </c:pt>
                <c:pt idx="289">
                  <c:v>83.7793248894496</c:v>
                </c:pt>
                <c:pt idx="290">
                  <c:v>83.5877244196778</c:v>
                </c:pt>
                <c:pt idx="291">
                  <c:v>83.3861047628715</c:v>
                </c:pt>
                <c:pt idx="292">
                  <c:v>83.1742429969382</c:v>
                </c:pt>
                <c:pt idx="293">
                  <c:v>82.9519215512783</c:v>
                </c:pt>
                <c:pt idx="294">
                  <c:v>82.7189291150911</c:v>
                </c:pt>
                <c:pt idx="295">
                  <c:v>82.4750615470588</c:v>
                </c:pt>
                <c:pt idx="296">
                  <c:v>82.2201227803469</c:v>
                </c:pt>
                <c:pt idx="297">
                  <c:v>81.9539257167569</c:v>
                </c:pt>
                <c:pt idx="298">
                  <c:v>81.6762931038299</c:v>
                </c:pt>
                <c:pt idx="299">
                  <c:v>81.3870583887539</c:v>
                </c:pt>
                <c:pt idx="300">
                  <c:v>81.0860665430704</c:v>
                </c:pt>
                <c:pt idx="301">
                  <c:v>80.7731748524092</c:v>
                </c:pt>
                <c:pt idx="302">
                  <c:v>80.4482536657922</c:v>
                </c:pt>
                <c:pt idx="303">
                  <c:v>80.1111870994469</c:v>
                </c:pt>
                <c:pt idx="304">
                  <c:v>79.7618736905437</c:v>
                </c:pt>
                <c:pt idx="305">
                  <c:v>79.4002269968124</c:v>
                </c:pt>
                <c:pt idx="306">
                  <c:v>79.0261761385904</c:v>
                </c:pt>
                <c:pt idx="307">
                  <c:v>78.639666280495</c:v>
                </c:pt>
                <c:pt idx="308">
                  <c:v>78.2406590505936</c:v>
                </c:pt>
                <c:pt idx="309">
                  <c:v>77.8291328956388</c:v>
                </c:pt>
                <c:pt idx="310">
                  <c:v>77.4050833716305</c:v>
                </c:pt>
                <c:pt idx="311">
                  <c:v>76.9685233696688</c:v>
                </c:pt>
                <c:pt idx="312">
                  <c:v>76.5194832777074</c:v>
                </c:pt>
                <c:pt idx="313">
                  <c:v>76.0580110794753</c:v>
                </c:pt>
                <c:pt idx="314">
                  <c:v>75.5841723923766</c:v>
                </c:pt>
                <c:pt idx="315">
                  <c:v>75.0980504467286</c:v>
                </c:pt>
                <c:pt idx="316">
                  <c:v>74.5997460091171</c:v>
                </c:pt>
                <c:pt idx="317">
                  <c:v>74.0893772530273</c:v>
                </c:pt>
                <c:pt idx="318">
                  <c:v>73.567079580192</c:v>
                </c:pt>
                <c:pt idx="319">
                  <c:v>73.0330053962788</c:v>
                </c:pt>
                <c:pt idx="320">
                  <c:v>72.4873238446546</c:v>
                </c:pt>
                <c:pt idx="321">
                  <c:v>71.9302205019811</c:v>
                </c:pt>
                <c:pt idx="322">
                  <c:v>71.3618970393257</c:v>
                </c:pt>
                <c:pt idx="323">
                  <c:v>70.7825708523219</c:v>
                </c:pt>
                <c:pt idx="324">
                  <c:v>70.1924746637166</c:v>
                </c:pt>
                <c:pt idx="325">
                  <c:v>69.5918561013386</c:v>
                </c:pt>
                <c:pt idx="326">
                  <c:v>68.9809772542255</c:v>
                </c:pt>
                <c:pt idx="327">
                  <c:v>68.3601142092545</c:v>
                </c:pt>
                <c:pt idx="328">
                  <c:v>67.7295565702503</c:v>
                </c:pt>
                <c:pt idx="329">
                  <c:v>67.0896069611261</c:v>
                </c:pt>
                <c:pt idx="330">
                  <c:v>66.4405805142257</c:v>
                </c:pt>
                <c:pt idx="331">
                  <c:v>65.7828043446133</c:v>
                </c:pt>
                <c:pt idx="332">
                  <c:v>65.1166170107258</c:v>
                </c:pt>
                <c:pt idx="333">
                  <c:v>64.4423679614355</c:v>
                </c:pt>
                <c:pt idx="334">
                  <c:v>63.7604169693048</c:v>
                </c:pt>
                <c:pt idx="335">
                  <c:v>63.0711335495667</c:v>
                </c:pt>
                <c:pt idx="336">
                  <c:v>62.3748963641946</c:v>
                </c:pt>
                <c:pt idx="337">
                  <c:v>61.6720926103047</c:v>
                </c:pt>
                <c:pt idx="338">
                  <c:v>60.9631173921004</c:v>
                </c:pt>
                <c:pt idx="339">
                  <c:v>60.2483730755828</c:v>
                </c:pt>
                <c:pt idx="340">
                  <c:v>59.5282686253459</c:v>
                </c:pt>
                <c:pt idx="341">
                  <c:v>58.8032189229246</c:v>
                </c:pt>
                <c:pt idx="342">
                  <c:v>58.0736440663947</c:v>
                </c:pt>
                <c:pt idx="343">
                  <c:v>57.3399686511757</c:v>
                </c:pt>
                <c:pt idx="344">
                  <c:v>56.6026210323145</c:v>
                </c:pt>
                <c:pt idx="345">
                  <c:v>55.8620325688861</c:v>
                </c:pt>
                <c:pt idx="346">
                  <c:v>55.1186368515216</c:v>
                </c:pt>
                <c:pt idx="347">
                  <c:v>54.3728689144888</c:v>
                </c:pt>
                <c:pt idx="348">
                  <c:v>53.62516443415</c:v>
                </c:pt>
                <c:pt idx="349">
                  <c:v>52.8759589160361</c:v>
                </c:pt>
                <c:pt idx="350">
                  <c:v>52.1256868731673</c:v>
                </c:pt>
                <c:pt idx="351">
                  <c:v>51.374780998622</c:v>
                </c:pt>
                <c:pt idx="352">
                  <c:v>50.6236713356882</c:v>
                </c:pt>
                <c:pt idx="353">
                  <c:v>49.8727844492359</c:v>
                </c:pt>
                <c:pt idx="354">
                  <c:v>49.1225426021757</c:v>
                </c:pt>
                <c:pt idx="355">
                  <c:v>48.3733629410858</c:v>
                </c:pt>
                <c:pt idx="356">
                  <c:v>47.6256566951875</c:v>
                </c:pt>
                <c:pt idx="357">
                  <c:v>46.8798283929469</c:v>
                </c:pt>
                <c:pt idx="358">
                  <c:v>46.1362751005479</c:v>
                </c:pt>
                <c:pt idx="359">
                  <c:v>45.395385686452</c:v>
                </c:pt>
                <c:pt idx="360">
                  <c:v>44.6575401161067</c:v>
                </c:pt>
                <c:pt idx="361">
                  <c:v>43.9231087806814</c:v>
                </c:pt>
                <c:pt idx="362">
                  <c:v>43.192451863476</c:v>
                </c:pt>
                <c:pt idx="363">
                  <c:v>42.465918747334</c:v>
                </c:pt>
                <c:pt idx="364">
                  <c:v>41.743847466063</c:v>
                </c:pt>
                <c:pt idx="365">
                  <c:v>41.026564202477</c:v>
                </c:pt>
                <c:pt idx="366">
                  <c:v>40.3143828352717</c:v>
                </c:pt>
                <c:pt idx="367">
                  <c:v>39.6076045365051</c:v>
                </c:pt>
                <c:pt idx="368">
                  <c:v>38.9065174210146</c:v>
                </c:pt>
                <c:pt idx="369">
                  <c:v>38.2113962486405</c:v>
                </c:pt>
                <c:pt idx="370">
                  <c:v>37.5225021796834</c:v>
                </c:pt>
                <c:pt idx="371">
                  <c:v>36.8400825835673</c:v>
                </c:pt>
                <c:pt idx="372">
                  <c:v>36.1643709002614</c:v>
                </c:pt>
                <c:pt idx="373">
                  <c:v>35.4955865535996</c:v>
                </c:pt>
                <c:pt idx="374">
                  <c:v>34.8339349152549</c:v>
                </c:pt>
                <c:pt idx="375">
                  <c:v>34.1796073177796</c:v>
                </c:pt>
                <c:pt idx="376">
                  <c:v>33.5327811148029</c:v>
                </c:pt>
                <c:pt idx="377">
                  <c:v>32.8936197861893</c:v>
                </c:pt>
                <c:pt idx="378">
                  <c:v>32.2622730857387</c:v>
                </c:pt>
                <c:pt idx="379">
                  <c:v>31.6388772287818</c:v>
                </c:pt>
                <c:pt idx="380">
                  <c:v>31.023555116886</c:v>
                </c:pt>
                <c:pt idx="381">
                  <c:v>30.4164165967442</c:v>
                </c:pt>
                <c:pt idx="382">
                  <c:v>29.8175587502413</c:v>
                </c:pt>
                <c:pt idx="383">
                  <c:v>29.2270662126453</c:v>
                </c:pt>
                <c:pt idx="384">
                  <c:v>28.6450115158454</c:v>
                </c:pt>
                <c:pt idx="385">
                  <c:v>28.0714554535834</c:v>
                </c:pt>
                <c:pt idx="386">
                  <c:v>27.5064474656614</c:v>
                </c:pt>
                <c:pt idx="387">
                  <c:v>26.9500260381797</c:v>
                </c:pt>
                <c:pt idx="388">
                  <c:v>26.4022191169557</c:v>
                </c:pt>
                <c:pt idx="389">
                  <c:v>25.8630445313736</c:v>
                </c:pt>
                <c:pt idx="390">
                  <c:v>25.3325104260558</c:v>
                </c:pt>
                <c:pt idx="391">
                  <c:v>24.8106156978718</c:v>
                </c:pt>
                <c:pt idx="392">
                  <c:v>24.2973504359658</c:v>
                </c:pt>
                <c:pt idx="393">
                  <c:v>23.7926963626274</c:v>
                </c:pt>
                <c:pt idx="394">
                  <c:v>23.2966272730059</c:v>
                </c:pt>
                <c:pt idx="395">
                  <c:v>22.8091094718223</c:v>
                </c:pt>
                <c:pt idx="396">
                  <c:v>22.3301022054039</c:v>
                </c:pt>
                <c:pt idx="397">
                  <c:v>21.8595580875372</c:v>
                </c:pt>
                <c:pt idx="398">
                  <c:v>21.3974235177804</c:v>
                </c:pt>
                <c:pt idx="399">
                  <c:v>20.9436390910517</c:v>
                </c:pt>
                <c:pt idx="400">
                  <c:v>20.4981399974472</c:v>
                </c:pt>
                <c:pt idx="401">
                  <c:v>20.0608564113953</c:v>
                </c:pt>
                <c:pt idx="402">
                  <c:v>19.6317138693914</c:v>
                </c:pt>
                <c:pt idx="403">
                  <c:v>19.2106336356806</c:v>
                </c:pt>
                <c:pt idx="404">
                  <c:v>18.7975330553862</c:v>
                </c:pt>
                <c:pt idx="405">
                  <c:v>18.3923258946908</c:v>
                </c:pt>
                <c:pt idx="406">
                  <c:v>17.9949226677805</c:v>
                </c:pt>
                <c:pt idx="407">
                  <c:v>17.6052309503616</c:v>
                </c:pt>
                <c:pt idx="408">
                  <c:v>17.2231556796439</c:v>
                </c:pt>
                <c:pt idx="409">
                  <c:v>16.848599440768</c:v>
                </c:pt>
                <c:pt idx="410">
                  <c:v>16.4814627397199</c:v>
                </c:pt>
                <c:pt idx="411">
                  <c:v>16.1216442628439</c:v>
                </c:pt>
                <c:pt idx="412">
                  <c:v>15.7690411231198</c:v>
                </c:pt>
                <c:pt idx="413">
                  <c:v>15.4235490934172</c:v>
                </c:pt>
                <c:pt idx="414">
                  <c:v>15.0850628269871</c:v>
                </c:pt>
                <c:pt idx="415">
                  <c:v>14.7534760654805</c:v>
                </c:pt>
                <c:pt idx="416">
                  <c:v>14.4286818348214</c:v>
                </c:pt>
                <c:pt idx="417">
                  <c:v>14.1105726292811</c:v>
                </c:pt>
                <c:pt idx="418">
                  <c:v>13.7990405841263</c:v>
                </c:pt>
                <c:pt idx="419">
                  <c:v>13.4939776372237</c:v>
                </c:pt>
                <c:pt idx="420">
                  <c:v>13.1952756800024</c:v>
                </c:pt>
                <c:pt idx="421">
                  <c:v>12.9028266981774</c:v>
                </c:pt>
                <c:pt idx="422">
                  <c:v>12.6165229026483</c:v>
                </c:pt>
                <c:pt idx="423">
                  <c:v>12.3362568509854</c:v>
                </c:pt>
                <c:pt idx="424">
                  <c:v>12.061921559917</c:v>
                </c:pt>
                <c:pt idx="425">
                  <c:v>11.7934106092287</c:v>
                </c:pt>
                <c:pt idx="426">
                  <c:v>11.5306182374829</c:v>
                </c:pt>
                <c:pt idx="427">
                  <c:v>11.2734394299551</c:v>
                </c:pt>
                <c:pt idx="428">
                  <c:v>11.0217699991832</c:v>
                </c:pt>
                <c:pt idx="429">
                  <c:v>10.7755066585115</c:v>
                </c:pt>
                <c:pt idx="430">
                  <c:v>10.5345470890047</c:v>
                </c:pt>
                <c:pt idx="431">
                  <c:v>10.2987900000927</c:v>
                </c:pt>
                <c:pt idx="432">
                  <c:v>10.0681351843016</c:v>
                </c:pt>
                <c:pt idx="433">
                  <c:v>9.84248356640755</c:v>
                </c:pt>
                <c:pt idx="434">
                  <c:v>9.62173724734374</c:v>
                </c:pt>
                <c:pt idx="435">
                  <c:v>9.40579954317414</c:v>
                </c:pt>
                <c:pt idx="436">
                  <c:v>9.19457501943911</c:v>
                </c:pt>
                <c:pt idx="437">
                  <c:v>8.9879695211594</c:v>
                </c:pt>
                <c:pt idx="438">
                  <c:v>8.78589019878038</c:v>
                </c:pt>
                <c:pt idx="439">
                  <c:v>8.58824553031822</c:v>
                </c:pt>
                <c:pt idx="440">
                  <c:v>8.39494533996232</c:v>
                </c:pt>
                <c:pt idx="441">
                  <c:v>8.20590081337425</c:v>
                </c:pt>
                <c:pt idx="442">
                  <c:v>8.0210245099121</c:v>
                </c:pt>
                <c:pt idx="443">
                  <c:v>7.84023037199606</c:v>
                </c:pt>
                <c:pt idx="444">
                  <c:v>7.66343373182413</c:v>
                </c:pt>
                <c:pt idx="445">
                  <c:v>7.49055131562859</c:v>
                </c:pt>
                <c:pt idx="446">
                  <c:v>7.32150124566138</c:v>
                </c:pt>
                <c:pt idx="447">
                  <c:v>7.15620304008092</c:v>
                </c:pt>
                <c:pt idx="448">
                  <c:v>6.99457761090382</c:v>
                </c:pt>
                <c:pt idx="449">
                  <c:v>6.83654726017854</c:v>
                </c:pt>
                <c:pt idx="450">
                  <c:v>6.68203567452513</c:v>
                </c:pt>
                <c:pt idx="451">
                  <c:v>6.53096791817858</c:v>
                </c:pt>
                <c:pt idx="452">
                  <c:v>6.38327042466556</c:v>
                </c:pt>
                <c:pt idx="453">
                  <c:v>6.23887098723429</c:v>
                </c:pt>
                <c:pt idx="454">
                  <c:v>6.09769874815208</c:v>
                </c:pt>
                <c:pt idx="455">
                  <c:v>5.95968418697649</c:v>
                </c:pt>
                <c:pt idx="456">
                  <c:v>5.82475910789928</c:v>
                </c:pt>
                <c:pt idx="457">
                  <c:v>5.6928566262571</c:v>
                </c:pt>
                <c:pt idx="458">
                  <c:v>5.56391115429527</c:v>
                </c:pt>
                <c:pt idx="459">
                  <c:v>5.4378583862655</c:v>
                </c:pt>
                <c:pt idx="460">
                  <c:v>5.31463528293439</c:v>
                </c:pt>
                <c:pt idx="461">
                  <c:v>5.19418005557196</c:v>
                </c:pt>
                <c:pt idx="462">
                  <c:v>5.07643214948655</c:v>
                </c:pt>
                <c:pt idx="463">
                  <c:v>4.96133222716692</c:v>
                </c:pt>
                <c:pt idx="464">
                  <c:v>4.84882215108785</c:v>
                </c:pt>
                <c:pt idx="465">
                  <c:v>4.73884496623263</c:v>
                </c:pt>
                <c:pt idx="466">
                  <c:v>4.6313448823799</c:v>
                </c:pt>
                <c:pt idx="467">
                  <c:v>4.52626725620112</c:v>
                </c:pt>
                <c:pt idx="468">
                  <c:v>4.4235585732093</c:v>
                </c:pt>
                <c:pt idx="469">
                  <c:v>4.32316642959825</c:v>
                </c:pt>
                <c:pt idx="470">
                  <c:v>4.22503951400708</c:v>
                </c:pt>
                <c:pt idx="471">
                  <c:v>4.12912758924332</c:v>
                </c:pt>
                <c:pt idx="472">
                  <c:v>4.03538147399391</c:v>
                </c:pt>
                <c:pt idx="473">
                  <c:v>3.94375302455228</c:v>
                </c:pt>
                <c:pt idx="474">
                  <c:v>3.85419511658607</c:v>
                </c:pt>
                <c:pt idx="475">
                  <c:v>3.76666162696922</c:v>
                </c:pt>
                <c:pt idx="476">
                  <c:v>3.68110741569899</c:v>
                </c:pt>
                <c:pt idx="477">
                  <c:v>3.59748830791713</c:v>
                </c:pt>
                <c:pt idx="478">
                  <c:v>3.51576107605313</c:v>
                </c:pt>
                <c:pt idx="479">
                  <c:v>3.4358834221043</c:v>
                </c:pt>
                <c:pt idx="480">
                  <c:v>3.35781396006808</c:v>
                </c:pt>
                <c:pt idx="481">
                  <c:v>3.28151219853854</c:v>
                </c:pt>
                <c:pt idx="482">
                  <c:v>3.20693852347897</c:v>
                </c:pt>
                <c:pt idx="483">
                  <c:v>3.13405418118073</c:v>
                </c:pt>
                <c:pt idx="484">
                  <c:v>3.06282126141752</c:v>
                </c:pt>
                <c:pt idx="485">
                  <c:v>2.99320268080311</c:v>
                </c:pt>
                <c:pt idx="486">
                  <c:v>2.92516216635964</c:v>
                </c:pt>
                <c:pt idx="487">
                  <c:v>2.85866423930257</c:v>
                </c:pt>
                <c:pt idx="488">
                  <c:v>2.79367419904783</c:v>
                </c:pt>
                <c:pt idx="489">
                  <c:v>2.73015810744546</c:v>
                </c:pt>
                <c:pt idx="490">
                  <c:v>2.66808277324375</c:v>
                </c:pt>
                <c:pt idx="491">
                  <c:v>2.60741573678691</c:v>
                </c:pt>
                <c:pt idx="492">
                  <c:v>2.54812525494901</c:v>
                </c:pt>
                <c:pt idx="493">
                  <c:v>2.49018028630588</c:v>
                </c:pt>
                <c:pt idx="494">
                  <c:v>2.43355047654667</c:v>
                </c:pt>
                <c:pt idx="495">
                  <c:v>2.37820614412604</c:v>
                </c:pt>
                <c:pt idx="496">
                  <c:v>2.32411826615727</c:v>
                </c:pt>
                <c:pt idx="497">
                  <c:v>2.27125846454678</c:v>
                </c:pt>
                <c:pt idx="498">
                  <c:v>2.21959899236951</c:v>
                </c:pt>
                <c:pt idx="499">
                  <c:v>2.16911272048477</c:v>
                </c:pt>
                <c:pt idx="500">
                  <c:v>2.11977312439164</c:v>
                </c:pt>
                <c:pt idx="501">
                  <c:v>2.07155427132281</c:v>
                </c:pt>
                <c:pt idx="502">
                  <c:v>2.0244308075752</c:v>
                </c:pt>
                <c:pt idx="503">
                  <c:v>1.97837794607617</c:v>
                </c:pt>
                <c:pt idx="504">
                  <c:v>1.93337145418297</c:v>
                </c:pt>
                <c:pt idx="505">
                  <c:v>1.88938764171372</c:v>
                </c:pt>
                <c:pt idx="506">
                  <c:v>1.84640334920766</c:v>
                </c:pt>
                <c:pt idx="507">
                  <c:v>1.80439593641214</c:v>
                </c:pt>
                <c:pt idx="508">
                  <c:v>1.76334327099416</c:v>
                </c:pt>
                <c:pt idx="509">
                  <c:v>1.72322371747335</c:v>
                </c:pt>
                <c:pt idx="510">
                  <c:v>1.68401612637442</c:v>
                </c:pt>
                <c:pt idx="511">
                  <c:v>1.64569982359546</c:v>
                </c:pt>
                <c:pt idx="512">
                  <c:v>1.6082545999898</c:v>
                </c:pt>
                <c:pt idx="513">
                  <c:v>1.5716607011582</c:v>
                </c:pt>
                <c:pt idx="514">
                  <c:v>1.53589881744831</c:v>
                </c:pt>
                <c:pt idx="515">
                  <c:v>1.50095007415868</c:v>
                </c:pt>
                <c:pt idx="516">
                  <c:v>1.46679602194371</c:v>
                </c:pt>
                <c:pt idx="517">
                  <c:v>1.4334186274168</c:v>
                </c:pt>
                <c:pt idx="518">
                  <c:v>1.40080026394841</c:v>
                </c:pt>
                <c:pt idx="519">
                  <c:v>1.36892370265586</c:v>
                </c:pt>
                <c:pt idx="520">
                  <c:v>1.33777210358163</c:v>
                </c:pt>
                <c:pt idx="521">
                  <c:v>1.30732900705703</c:v>
                </c:pt>
                <c:pt idx="522">
                  <c:v>1.27757832524808</c:v>
                </c:pt>
                <c:pt idx="523">
                  <c:v>1.2485043338803</c:v>
                </c:pt>
                <c:pt idx="524">
                  <c:v>1.22009166413934</c:v>
                </c:pt>
                <c:pt idx="525">
                  <c:v>1.1923252947442</c:v>
                </c:pt>
                <c:pt idx="526">
                  <c:v>1.16519054418998</c:v>
                </c:pt>
                <c:pt idx="527">
                  <c:v>1.13867306315697</c:v>
                </c:pt>
                <c:pt idx="528">
                  <c:v>1.11275882708291</c:v>
                </c:pt>
                <c:pt idx="529">
                  <c:v>1.08743412889549</c:v>
                </c:pt>
                <c:pt idx="530">
                  <c:v>1.06268557190198</c:v>
                </c:pt>
                <c:pt idx="531">
                  <c:v>1.03850006283289</c:v>
                </c:pt>
                <c:pt idx="532">
                  <c:v>1.01486480503671</c:v>
                </c:pt>
                <c:pt idx="533">
                  <c:v>0.991767291822889</c:v>
                </c:pt>
                <c:pt idx="534">
                  <c:v>0.969195299949933</c:v>
                </c:pt>
                <c:pt idx="535">
                  <c:v>0.947136883255844</c:v>
                </c:pt>
                <c:pt idx="536">
                  <c:v>0.925580366428156</c:v>
                </c:pt>
                <c:pt idx="537">
                  <c:v>0.904514338910521</c:v>
                </c:pt>
                <c:pt idx="538">
                  <c:v>0.883927648943192</c:v>
                </c:pt>
                <c:pt idx="539">
                  <c:v>0.863809397734844</c:v>
                </c:pt>
                <c:pt idx="540">
                  <c:v>0.844148933762724</c:v>
                </c:pt>
                <c:pt idx="541">
                  <c:v>0.824935847198711</c:v>
                </c:pt>
              </c:numCache>
            </c:numRef>
          </c:yVal>
          <c:smooth val="1"/>
        </c:ser>
        <c:dLbls>
          <c:showLegendKey val="0"/>
          <c:showVal val="0"/>
          <c:showCatName val="0"/>
          <c:showSerName val="0"/>
          <c:showPercent val="0"/>
          <c:showBubbleSize val="0"/>
        </c:dLbls>
        <c:axId val="178915200"/>
        <c:axId val="178913664"/>
      </c:scatterChart>
      <c:valAx>
        <c:axId val="178901376"/>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903296"/>
        <c:crosses val="autoZero"/>
        <c:crossBetween val="midCat"/>
      </c:valAx>
      <c:valAx>
        <c:axId val="178903296"/>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solidFill>
                      <a:srgbClr val="FF0000"/>
                    </a:solidFill>
                  </a:rPr>
                  <a:t>Gain</a:t>
                </a:r>
                <a:r>
                  <a:rPr lang="en-US" baseline="0">
                    <a:solidFill>
                      <a:srgbClr val="FF0000"/>
                    </a:solidFill>
                  </a:rPr>
                  <a:t> (dB)</a:t>
                </a:r>
                <a:endParaRPr lang="en-US">
                  <a:solidFill>
                    <a:srgbClr val="FF0000"/>
                  </a:solidFill>
                </a:endParaRPr>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rgbClr val="FF0000"/>
                </a:solidFill>
                <a:latin typeface="+mn-lt"/>
                <a:ea typeface="+mn-ea"/>
                <a:cs typeface="+mn-cs"/>
              </a:defRPr>
            </a:pPr>
          </a:p>
        </c:txPr>
        <c:crossAx val="178901376"/>
        <c:crosses val="autoZero"/>
        <c:crossBetween val="midCat"/>
        <c:majorUnit val="20"/>
        <c:minorUnit val="10"/>
      </c:valAx>
      <c:valAx>
        <c:axId val="178915200"/>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913664"/>
        <c:crosses val="autoZero"/>
        <c:crossBetween val="midCat"/>
      </c:valAx>
      <c:valAx>
        <c:axId val="178913664"/>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lumMod val="95000"/>
                    <a:lumOff val="5000"/>
                  </a:schemeClr>
                </a:solidFill>
                <a:latin typeface="+mn-lt"/>
                <a:ea typeface="+mn-ea"/>
                <a:cs typeface="+mn-cs"/>
              </a:defRPr>
            </a:pPr>
          </a:p>
        </c:txPr>
        <c:crossAx val="178915200"/>
        <c:crosses val="max"/>
        <c:crossBetween val="midCat"/>
        <c:majorUnit val="90"/>
        <c:minorUnit val="45"/>
      </c:valAx>
    </c:plotArea>
    <c:plotVisOnly val="1"/>
    <c:dispBlanksAs val="gap"/>
    <c:showDLblsOverMax val="0"/>
    <c:extLst>
      <c:ext uri="{0b15fc19-7d7d-44ad-8c2d-2c3a37ce22c3}">
        <chartProps xmlns="https://web.wps.cn/et/2018/main" chartId="{b4989062-e712-4921-b8f5-b113f4e82bf7}"/>
      </c:ext>
    </c:extLst>
  </c:chart>
  <c:txPr>
    <a:bodyPr/>
    <a:lstStyle/>
    <a:p>
      <a:pPr>
        <a:defRPr lang="pl-PL"/>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baseline="0"/>
              <a:t>Total Control Loop Transfer Function</a:t>
            </a:r>
            <a:endParaRPr lang="en-US" baseline="0"/>
          </a:p>
        </c:rich>
      </c:tx>
      <c:layout/>
      <c:overlay val="0"/>
    </c:title>
    <c:autoTitleDeleted val="0"/>
    <c:plotArea>
      <c:layout/>
      <c:scatterChart>
        <c:scatterStyle val="smooth"/>
        <c:varyColors val="0"/>
        <c:ser>
          <c:idx val="0"/>
          <c:order val="0"/>
          <c:spPr>
            <a:ln w="38100" cap="rnd" cmpd="sng" algn="ctr">
              <a:solidFill>
                <a:srgbClr val="FF0000"/>
              </a:solidFill>
              <a:prstDash val="solid"/>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Loop_Modeling!$BL$19:$BL$560</c:f>
              <c:numCache>
                <c:formatCode>General</c:formatCode>
                <c:ptCount val="542"/>
                <c:pt idx="0">
                  <c:v>57.5565005783383</c:v>
                </c:pt>
                <c:pt idx="1">
                  <c:v>57.3533098639314</c:v>
                </c:pt>
                <c:pt idx="2">
                  <c:v>57.1499716915306</c:v>
                </c:pt>
                <c:pt idx="3">
                  <c:v>56.9464793876224</c:v>
                </c:pt>
                <c:pt idx="4">
                  <c:v>56.7428259900299</c:v>
                </c:pt>
                <c:pt idx="5">
                  <c:v>56.5390042366909</c:v>
                </c:pt>
                <c:pt idx="6">
                  <c:v>56.3350065541203</c:v>
                </c:pt>
                <c:pt idx="7">
                  <c:v>56.1308250455625</c:v>
                </c:pt>
                <c:pt idx="8">
                  <c:v>55.9264514788351</c:v>
                </c:pt>
                <c:pt idx="9">
                  <c:v>55.7218772738761</c:v>
                </c:pt>
                <c:pt idx="10">
                  <c:v>55.517093489999</c:v>
                </c:pt>
                <c:pt idx="11">
                  <c:v>55.3120908128686</c:v>
                </c:pt>
                <c:pt idx="12">
                  <c:v>55.1068595412132</c:v>
                </c:pt>
                <c:pt idx="13">
                  <c:v>54.901389573285</c:v>
                </c:pt>
                <c:pt idx="14">
                  <c:v>54.6956703930925</c:v>
                </c:pt>
                <c:pt idx="15">
                  <c:v>54.4896910564236</c:v>
                </c:pt>
                <c:pt idx="16">
                  <c:v>54.2834401766877</c:v>
                </c:pt>
                <c:pt idx="17">
                  <c:v>54.0769059106039</c:v>
                </c:pt>
                <c:pt idx="18">
                  <c:v>53.8700759437711</c:v>
                </c:pt>
                <c:pt idx="19">
                  <c:v>53.6629374761552</c:v>
                </c:pt>
                <c:pt idx="20">
                  <c:v>53.4554772075381</c:v>
                </c:pt>
                <c:pt idx="21">
                  <c:v>53.2476813229741</c:v>
                </c:pt>
                <c:pt idx="22">
                  <c:v>53.0395354783067</c:v>
                </c:pt>
                <c:pt idx="23">
                  <c:v>52.8310247858045</c:v>
                </c:pt>
                <c:pt idx="24">
                  <c:v>52.6221337999799</c:v>
                </c:pt>
                <c:pt idx="25">
                  <c:v>52.4128465036607</c:v>
                </c:pt>
                <c:pt idx="26">
                  <c:v>52.2031462943932</c:v>
                </c:pt>
                <c:pt idx="27">
                  <c:v>51.9930159712586</c:v>
                </c:pt>
                <c:pt idx="28">
                  <c:v>51.7824377221964</c:v>
                </c:pt>
                <c:pt idx="29">
                  <c:v>51.5713931119326</c:v>
                </c:pt>
                <c:pt idx="30">
                  <c:v>51.3598630706197</c:v>
                </c:pt>
                <c:pt idx="31">
                  <c:v>51.1478278833039</c:v>
                </c:pt>
                <c:pt idx="32">
                  <c:v>50.9352671803427</c:v>
                </c:pt>
                <c:pt idx="33">
                  <c:v>50.7221599289046</c:v>
                </c:pt>
                <c:pt idx="34">
                  <c:v>50.5084844256916</c:v>
                </c:pt>
                <c:pt idx="35">
                  <c:v>50.2942182910336</c:v>
                </c:pt>
                <c:pt idx="36">
                  <c:v>50.0793384645122</c:v>
                </c:pt>
                <c:pt idx="37">
                  <c:v>49.8638212022802</c:v>
                </c:pt>
                <c:pt idx="38">
                  <c:v>49.647642076251</c:v>
                </c:pt>
                <c:pt idx="39">
                  <c:v>49.43077597534</c:v>
                </c:pt>
                <c:pt idx="40">
                  <c:v>49.2131971089479</c:v>
                </c:pt>
                <c:pt idx="41">
                  <c:v>48.9948790128826</c:v>
                </c:pt>
                <c:pt idx="42">
                  <c:v>48.7757945579208</c:v>
                </c:pt>
                <c:pt idx="43">
                  <c:v>48.5559159612186</c:v>
                </c:pt>
                <c:pt idx="44">
                  <c:v>48.3352148007801</c:v>
                </c:pt>
                <c:pt idx="45">
                  <c:v>48.1136620332016</c:v>
                </c:pt>
                <c:pt idx="46">
                  <c:v>47.8912280149028</c:v>
                </c:pt>
                <c:pt idx="47">
                  <c:v>47.6678825270621</c:v>
                </c:pt>
                <c:pt idx="48">
                  <c:v>47.4435948044673</c:v>
                </c:pt>
                <c:pt idx="49">
                  <c:v>47.2183335684904</c:v>
                </c:pt>
                <c:pt idx="50">
                  <c:v>46.9920670643841</c:v>
                </c:pt>
                <c:pt idx="51">
                  <c:v>46.7647631030953</c:v>
                </c:pt>
                <c:pt idx="52">
                  <c:v>46.5363891077696</c:v>
                </c:pt>
                <c:pt idx="53">
                  <c:v>46.3069121651137</c:v>
                </c:pt>
                <c:pt idx="54">
                  <c:v>46.0762990817588</c:v>
                </c:pt>
                <c:pt idx="55">
                  <c:v>45.8445164457478</c:v>
                </c:pt>
                <c:pt idx="56">
                  <c:v>45.6115306932442</c:v>
                </c:pt>
                <c:pt idx="57">
                  <c:v>45.3773081805335</c:v>
                </c:pt>
                <c:pt idx="58">
                  <c:v>45.1418152613506</c:v>
                </c:pt>
                <c:pt idx="59">
                  <c:v>44.905018369538</c:v>
                </c:pt>
                <c:pt idx="60">
                  <c:v>44.6668841069943</c:v>
                </c:pt>
                <c:pt idx="61">
                  <c:v>44.4273793368338</c:v>
                </c:pt>
                <c:pt idx="62">
                  <c:v>44.1864712816307</c:v>
                </c:pt>
                <c:pt idx="63">
                  <c:v>43.9441276265751</c:v>
                </c:pt>
                <c:pt idx="64">
                  <c:v>43.7003166273138</c:v>
                </c:pt>
                <c:pt idx="65">
                  <c:v>43.4550072222006</c:v>
                </c:pt>
                <c:pt idx="66">
                  <c:v>43.2081691486239</c:v>
                </c:pt>
                <c:pt idx="67">
                  <c:v>42.959773063024</c:v>
                </c:pt>
                <c:pt idx="68">
                  <c:v>42.7097906641611</c:v>
                </c:pt>
                <c:pt idx="69">
                  <c:v>42.4581948191354</c:v>
                </c:pt>
                <c:pt idx="70">
                  <c:v>42.2049596916131</c:v>
                </c:pt>
                <c:pt idx="71">
                  <c:v>41.9500608716559</c:v>
                </c:pt>
                <c:pt idx="72">
                  <c:v>41.6934755065085</c:v>
                </c:pt>
                <c:pt idx="73">
                  <c:v>41.4351824316524</c:v>
                </c:pt>
                <c:pt idx="74">
                  <c:v>41.1751623013956</c:v>
                </c:pt>
                <c:pt idx="75">
                  <c:v>40.9133977182368</c:v>
                </c:pt>
                <c:pt idx="76">
                  <c:v>40.6498733602138</c:v>
                </c:pt>
                <c:pt idx="77">
                  <c:v>40.384576105428</c:v>
                </c:pt>
                <c:pt idx="78">
                  <c:v>40.1174951529268</c:v>
                </c:pt>
                <c:pt idx="79">
                  <c:v>39.8486221391215</c:v>
                </c:pt>
                <c:pt idx="80">
                  <c:v>39.5779512489245</c:v>
                </c:pt>
                <c:pt idx="81">
                  <c:v>39.305479320808</c:v>
                </c:pt>
                <c:pt idx="82">
                  <c:v>39.0312059450082</c:v>
                </c:pt>
                <c:pt idx="83">
                  <c:v>38.7551335541335</c:v>
                </c:pt>
                <c:pt idx="84">
                  <c:v>38.4772675054802</c:v>
                </c:pt>
                <c:pt idx="85">
                  <c:v>38.1976161544087</c:v>
                </c:pt>
                <c:pt idx="86">
                  <c:v>37.9161909181912</c:v>
                </c:pt>
                <c:pt idx="87">
                  <c:v>37.6330063298124</c:v>
                </c:pt>
                <c:pt idx="88">
                  <c:v>37.3480800812713</c:v>
                </c:pt>
                <c:pt idx="89">
                  <c:v>37.0614330560143</c:v>
                </c:pt>
                <c:pt idx="90">
                  <c:v>36.773089350206</c:v>
                </c:pt>
                <c:pt idx="91">
                  <c:v>36.4830762826334</c:v>
                </c:pt>
                <c:pt idx="92">
                  <c:v>36.1914243931152</c:v>
                </c:pt>
                <c:pt idx="93">
                  <c:v>35.8981674293813</c:v>
                </c:pt>
                <c:pt idx="94">
                  <c:v>35.6033423224636</c:v>
                </c:pt>
                <c:pt idx="95">
                  <c:v>35.3069891507197</c:v>
                </c:pt>
                <c:pt idx="96">
                  <c:v>35.0091510926922</c:v>
                </c:pt>
                <c:pt idx="97">
                  <c:v>34.7098743690689</c:v>
                </c:pt>
                <c:pt idx="98">
                  <c:v>34.4092081740794</c:v>
                </c:pt>
                <c:pt idx="99">
                  <c:v>34.1072045967199</c:v>
                </c:pt>
                <c:pt idx="100">
                  <c:v>33.8039185322466</c:v>
                </c:pt>
                <c:pt idx="101">
                  <c:v>33.4994075844226</c:v>
                </c:pt>
                <c:pt idx="102">
                  <c:v>33.1937319590377</c:v>
                </c:pt>
                <c:pt idx="103">
                  <c:v>32.8869543492428</c:v>
                </c:pt>
                <c:pt idx="104">
                  <c:v>32.5791398132661</c:v>
                </c:pt>
                <c:pt idx="105">
                  <c:v>32.2703556450803</c:v>
                </c:pt>
                <c:pt idx="106">
                  <c:v>31.9606712386057</c:v>
                </c:pt>
                <c:pt idx="107">
                  <c:v>31.6501579460166</c:v>
                </c:pt>
                <c:pt idx="108">
                  <c:v>31.3388889307256</c:v>
                </c:pt>
                <c:pt idx="109">
                  <c:v>31.0269390155992</c:v>
                </c:pt>
                <c:pt idx="110">
                  <c:v>30.7143845269417</c:v>
                </c:pt>
                <c:pt idx="111">
                  <c:v>30.4013031347718</c:v>
                </c:pt>
                <c:pt idx="112">
                  <c:v>30.0877736898916</c:v>
                </c:pt>
                <c:pt idx="113">
                  <c:v>29.7738760582253</c:v>
                </c:pt>
                <c:pt idx="114">
                  <c:v>29.4596909528918</c:v>
                </c:pt>
                <c:pt idx="115">
                  <c:v>29.1452997644451</c:v>
                </c:pt>
                <c:pt idx="116">
                  <c:v>28.8307843897145</c:v>
                </c:pt>
                <c:pt idx="117">
                  <c:v>28.5162270596445</c:v>
                </c:pt>
                <c:pt idx="118">
                  <c:v>28.2017101665399</c:v>
                </c:pt>
                <c:pt idx="119">
                  <c:v>27.8873160911048</c:v>
                </c:pt>
                <c:pt idx="120">
                  <c:v>27.5731270296635</c:v>
                </c:pt>
                <c:pt idx="121">
                  <c:v>27.2592248219552</c:v>
                </c:pt>
                <c:pt idx="122">
                  <c:v>26.9456907798962</c:v>
                </c:pt>
                <c:pt idx="123">
                  <c:v>26.6326055177145</c:v>
                </c:pt>
                <c:pt idx="124">
                  <c:v>26.3200487838763</c:v>
                </c:pt>
                <c:pt idx="125">
                  <c:v>26.0080992952352</c:v>
                </c:pt>
                <c:pt idx="126">
                  <c:v>25.6968345738598</c:v>
                </c:pt>
                <c:pt idx="127">
                  <c:v>25.3863307870098</c:v>
                </c:pt>
                <c:pt idx="128">
                  <c:v>25.0766625907545</c:v>
                </c:pt>
                <c:pt idx="129">
                  <c:v>24.7679029777491</c:v>
                </c:pt>
                <c:pt idx="130">
                  <c:v>24.4601231297019</c:v>
                </c:pt>
                <c:pt idx="131">
                  <c:v>24.1533922750845</c:v>
                </c:pt>
                <c:pt idx="132">
                  <c:v>23.8477775526498</c:v>
                </c:pt>
                <c:pt idx="133">
                  <c:v>23.5433438813373</c:v>
                </c:pt>
                <c:pt idx="134">
                  <c:v>23.2401538371421</c:v>
                </c:pt>
                <c:pt idx="135">
                  <c:v>22.9382675375335</c:v>
                </c:pt>
                <c:pt idx="136">
                  <c:v>22.637742533992</c:v>
                </c:pt>
                <c:pt idx="137">
                  <c:v>22.3386337132258</c:v>
                </c:pt>
                <c:pt idx="138">
                  <c:v>22.0409932076012</c:v>
                </c:pt>
                <c:pt idx="139">
                  <c:v>21.7448703152918</c:v>
                </c:pt>
                <c:pt idx="140">
                  <c:v>21.4503114306154</c:v>
                </c:pt>
                <c:pt idx="141">
                  <c:v>21.1573599849753</c:v>
                </c:pt>
                <c:pt idx="142">
                  <c:v>20.8660563987749</c:v>
                </c:pt>
                <c:pt idx="143">
                  <c:v>20.5764380446092</c:v>
                </c:pt>
                <c:pt idx="144">
                  <c:v>20.288539221969</c:v>
                </c:pt>
                <c:pt idx="145">
                  <c:v>20.0023911436231</c:v>
                </c:pt>
                <c:pt idx="146">
                  <c:v>19.7180219337625</c:v>
                </c:pt>
                <c:pt idx="147">
                  <c:v>19.4354566379131</c:v>
                </c:pt>
                <c:pt idx="148">
                  <c:v>19.1547172445355</c:v>
                </c:pt>
                <c:pt idx="149">
                  <c:v>18.8758227181502</c:v>
                </c:pt>
                <c:pt idx="150">
                  <c:v>18.5987890437418</c:v>
                </c:pt>
                <c:pt idx="151">
                  <c:v>18.3236292821108</c:v>
                </c:pt>
                <c:pt idx="152">
                  <c:v>18.0503536357683</c:v>
                </c:pt>
                <c:pt idx="153">
                  <c:v>17.7789695248899</c:v>
                </c:pt>
                <c:pt idx="154">
                  <c:v>17.5094816727781</c:v>
                </c:pt>
                <c:pt idx="155">
                  <c:v>17.2418922002213</c:v>
                </c:pt>
                <c:pt idx="156">
                  <c:v>16.9762007280792</c:v>
                </c:pt>
                <c:pt idx="157">
                  <c:v>16.7124044873835</c:v>
                </c:pt>
                <c:pt idx="158">
                  <c:v>16.4504984361975</c:v>
                </c:pt>
                <c:pt idx="159">
                  <c:v>16.1904753824561</c:v>
                </c:pt>
                <c:pt idx="160">
                  <c:v>15.9323261119827</c:v>
                </c:pt>
                <c:pt idx="161">
                  <c:v>15.6760395208727</c:v>
                </c:pt>
                <c:pt idx="162">
                  <c:v>15.4216027514296</c:v>
                </c:pt>
                <c:pt idx="163">
                  <c:v>15.1690013308453</c:v>
                </c:pt>
                <c:pt idx="164">
                  <c:v>14.9182193118375</c:v>
                </c:pt>
                <c:pt idx="165">
                  <c:v>14.6692394144709</c:v>
                </c:pt>
                <c:pt idx="166">
                  <c:v>14.4220431684275</c:v>
                </c:pt>
                <c:pt idx="167">
                  <c:v>14.1766110550195</c:v>
                </c:pt>
                <c:pt idx="168">
                  <c:v>13.9329226482858</c:v>
                </c:pt>
                <c:pt idx="169">
                  <c:v>13.6909567545513</c:v>
                </c:pt>
                <c:pt idx="170">
                  <c:v>13.4506915498841</c:v>
                </c:pt>
                <c:pt idx="171">
                  <c:v>13.2121047149302</c:v>
                </c:pt>
                <c:pt idx="172">
                  <c:v>12.9751735666634</c:v>
                </c:pt>
                <c:pt idx="173">
                  <c:v>12.7398751866372</c:v>
                </c:pt>
                <c:pt idx="174">
                  <c:v>12.5061865453825</c:v>
                </c:pt>
                <c:pt idx="175">
                  <c:v>12.2740846226451</c:v>
                </c:pt>
                <c:pt idx="176">
                  <c:v>12.0435465232105</c:v>
                </c:pt>
                <c:pt idx="177">
                  <c:v>11.8145495881113</c:v>
                </c:pt>
                <c:pt idx="178">
                  <c:v>11.587071501061</c:v>
                </c:pt>
                <c:pt idx="179">
                  <c:v>11.3610903900001</c:v>
                </c:pt>
                <c:pt idx="180">
                  <c:v>11.1365849236846</c:v>
                </c:pt>
                <c:pt idx="181">
                  <c:v>10.9135344032817</c:v>
                </c:pt>
                <c:pt idx="182">
                  <c:v>10.6919188489713</c:v>
                </c:pt>
                <c:pt idx="183">
                  <c:v>10.4717190815859</c:v>
                </c:pt>
                <c:pt idx="184">
                  <c:v>10.2529167993415</c:v>
                </c:pt>
                <c:pt idx="185">
                  <c:v>10.0354946497416</c:v>
                </c:pt>
                <c:pt idx="186">
                  <c:v>9.81943629674878</c:v>
                </c:pt>
                <c:pt idx="187">
                  <c:v>9.60472648333705</c:v>
                </c:pt>
                <c:pt idx="188">
                  <c:v>9.39135108954989</c:v>
                </c:pt>
                <c:pt idx="189">
                  <c:v>9.17929718619416</c:v>
                </c:pt>
                <c:pt idx="190">
                  <c:v>8.96855308430712</c:v>
                </c:pt>
                <c:pt idx="191">
                  <c:v>8.75910838053576</c:v>
                </c:pt>
                <c:pt idx="192">
                  <c:v>8.55095399856459</c:v>
                </c:pt>
                <c:pt idx="193">
                  <c:v>8.34408222672718</c:v>
                </c:pt>
                <c:pt idx="194">
                  <c:v>8.13848675192875</c:v>
                </c:pt>
                <c:pt idx="195">
                  <c:v>7.93416268999936</c:v>
                </c:pt>
                <c:pt idx="196">
                  <c:v>7.73110661258934</c:v>
                </c:pt>
                <c:pt idx="197">
                  <c:v>7.52931657070437</c:v>
                </c:pt>
                <c:pt idx="198">
                  <c:v>7.32879211496545</c:v>
                </c:pt>
                <c:pt idx="199">
                  <c:v>7.12953431266723</c:v>
                </c:pt>
                <c:pt idx="200">
                  <c:v>6.93154576168857</c:v>
                </c:pt>
                <c:pt idx="201">
                  <c:v>6.73483060129804</c:v>
                </c:pt>
                <c:pt idx="202">
                  <c:v>6.53939451987916</c:v>
                </c:pt>
                <c:pt idx="203">
                  <c:v>6.34524475958033</c:v>
                </c:pt>
                <c:pt idx="204">
                  <c:v>6.15239011788465</c:v>
                </c:pt>
                <c:pt idx="205">
                  <c:v>5.96084094607165</c:v>
                </c:pt>
                <c:pt idx="206">
                  <c:v>5.77060914453221</c:v>
                </c:pt>
                <c:pt idx="207">
                  <c:v>5.58170815487826</c:v>
                </c:pt>
                <c:pt idx="208">
                  <c:v>5.39415294877758</c:v>
                </c:pt>
                <c:pt idx="209">
                  <c:v>5.20796001342986</c:v>
                </c:pt>
                <c:pt idx="210">
                  <c:v>5.02314733358587</c:v>
                </c:pt>
                <c:pt idx="211">
                  <c:v>4.83973437000365</c:v>
                </c:pt>
                <c:pt idx="212">
                  <c:v>4.65774203422707</c:v>
                </c:pt>
                <c:pt idx="213">
                  <c:v>4.47719265956076</c:v>
                </c:pt>
                <c:pt idx="214">
                  <c:v>4.29810996811766</c:v>
                </c:pt>
                <c:pt idx="215">
                  <c:v>4.12051903380639</c:v>
                </c:pt>
                <c:pt idx="216">
                  <c:v>3.94444624113184</c:v>
                </c:pt>
                <c:pt idx="217">
                  <c:v>3.76991923968158</c:v>
                </c:pt>
                <c:pt idx="218">
                  <c:v>3.59696689417857</c:v>
                </c:pt>
                <c:pt idx="219">
                  <c:v>3.42561922999195</c:v>
                </c:pt>
                <c:pt idx="220">
                  <c:v>3.25590737400747</c:v>
                </c:pt>
                <c:pt idx="221">
                  <c:v>3.08786349077681</c:v>
                </c:pt>
                <c:pt idx="222">
                  <c:v>2.92152071388803</c:v>
                </c:pt>
                <c:pt idx="223">
                  <c:v>2.75691307251721</c:v>
                </c:pt>
                <c:pt idx="224">
                  <c:v>2.59407541315345</c:v>
                </c:pt>
                <c:pt idx="225">
                  <c:v>2.43304331651833</c:v>
                </c:pt>
                <c:pt idx="226">
                  <c:v>2.27385300973424</c:v>
                </c:pt>
                <c:pt idx="227">
                  <c:v>2.11654127383529</c:v>
                </c:pt>
                <c:pt idx="228">
                  <c:v>1.96114534675189</c:v>
                </c:pt>
                <c:pt idx="229">
                  <c:v>1.80770282194537</c:v>
                </c:pt>
                <c:pt idx="230">
                  <c:v>1.65625154291268</c:v>
                </c:pt>
                <c:pt idx="231">
                  <c:v>1.50682949382734</c:v>
                </c:pt>
                <c:pt idx="232">
                  <c:v>1.35947468663062</c:v>
                </c:pt>
                <c:pt idx="233">
                  <c:v>1.21422504493554</c:v>
                </c:pt>
                <c:pt idx="234">
                  <c:v>1.07111828515174</c:v>
                </c:pt>
                <c:pt idx="235">
                  <c:v>0.930191795287822</c:v>
                </c:pt>
                <c:pt idx="236">
                  <c:v>0.791482511930206</c:v>
                </c:pt>
                <c:pt idx="237">
                  <c:v>0.655026795940787</c:v>
                </c:pt>
                <c:pt idx="238">
                  <c:v>0.520860307450629</c:v>
                </c:pt>
                <c:pt idx="239">
                  <c:v>0.389017880763497</c:v>
                </c:pt>
                <c:pt idx="240">
                  <c:v>0.259533399807159</c:v>
                </c:pt>
                <c:pt idx="241">
                  <c:v>0.132439674794074</c:v>
                </c:pt>
                <c:pt idx="242">
                  <c:v>0.00776832076466205</c:v>
                </c:pt>
                <c:pt idx="243">
                  <c:v>-0.114450361304515</c:v>
                </c:pt>
                <c:pt idx="244">
                  <c:v>-0.234187500150916</c:v>
                </c:pt>
                <c:pt idx="245">
                  <c:v>-0.351415765965229</c:v>
                </c:pt>
                <c:pt idx="246">
                  <c:v>-0.46610947757383</c:v>
                </c:pt>
                <c:pt idx="247">
                  <c:v>-0.578244704444827</c:v>
                </c:pt>
                <c:pt idx="248">
                  <c:v>-0.687799362938447</c:v>
                </c:pt>
                <c:pt idx="249">
                  <c:v>-0.794753306269236</c:v>
                </c:pt>
                <c:pt idx="250">
                  <c:v>-0.899088407701451</c:v>
                </c:pt>
                <c:pt idx="251">
                  <c:v>-1.00078863656591</c:v>
                </c:pt>
                <c:pt idx="252">
                  <c:v>-1.0998401267519</c:v>
                </c:pt>
                <c:pt idx="253">
                  <c:v>-1.19623123740758</c:v>
                </c:pt>
                <c:pt idx="254">
                  <c:v>-1.28995260566059</c:v>
                </c:pt>
                <c:pt idx="255">
                  <c:v>-1.38099719125536</c:v>
                </c:pt>
                <c:pt idx="256">
                  <c:v>-1.46936031308844</c:v>
                </c:pt>
                <c:pt idx="257">
                  <c:v>-1.55503967770989</c:v>
                </c:pt>
                <c:pt idx="258">
                  <c:v>-1.63803539994257</c:v>
                </c:pt>
                <c:pt idx="259">
                  <c:v>-1.71835001585358</c:v>
                </c:pt>
                <c:pt idx="260">
                  <c:v>-1.79598848838966</c:v>
                </c:pt>
                <c:pt idx="261">
                  <c:v>-1.87095820605867</c:v>
                </c:pt>
                <c:pt idx="262">
                  <c:v>-1.94326897510539</c:v>
                </c:pt>
                <c:pt idx="263">
                  <c:v>-2.01293300568431</c:v>
                </c:pt>
                <c:pt idx="264">
                  <c:v>-2.07996489257788</c:v>
                </c:pt>
                <c:pt idx="265">
                  <c:v>-2.14438159104585</c:v>
                </c:pt>
                <c:pt idx="266">
                  <c:v>-2.20620238841441</c:v>
                </c:pt>
                <c:pt idx="267">
                  <c:v>-2.26544887202699</c:v>
                </c:pt>
                <c:pt idx="268">
                  <c:v>-2.3221448941788</c:v>
                </c:pt>
                <c:pt idx="269">
                  <c:v>-2.37631653464713</c:v>
                </c:pt>
                <c:pt idx="270">
                  <c:v>-2.42799206140579</c:v>
                </c:pt>
                <c:pt idx="271">
                  <c:v>-2.47720189007804</c:v>
                </c:pt>
                <c:pt idx="272">
                  <c:v>-2.52397854263828</c:v>
                </c:pt>
                <c:pt idx="273">
                  <c:v>-2.56835660581929</c:v>
                </c:pt>
                <c:pt idx="274">
                  <c:v>-2.61037268961753</c:v>
                </c:pt>
                <c:pt idx="275">
                  <c:v>-2.65006538622282</c:v>
                </c:pt>
                <c:pt idx="276">
                  <c:v>-2.68747522962041</c:v>
                </c:pt>
                <c:pt idx="277">
                  <c:v>-2.72264465603533</c:v>
                </c:pt>
                <c:pt idx="278">
                  <c:v>-2.75561796530958</c:v>
                </c:pt>
                <c:pt idx="279">
                  <c:v>-2.78644128321694</c:v>
                </c:pt>
                <c:pt idx="280">
                  <c:v>-2.81516252464145</c:v>
                </c:pt>
                <c:pt idx="281">
                  <c:v>-2.84183135746626</c:v>
                </c:pt>
                <c:pt idx="282">
                  <c:v>-2.86649916694748</c:v>
                </c:pt>
                <c:pt idx="283">
                  <c:v>-2.88921902027782</c:v>
                </c:pt>
                <c:pt idx="284">
                  <c:v>-2.91004563098701</c:v>
                </c:pt>
                <c:pt idx="285">
                  <c:v>-2.92903532277576</c:v>
                </c:pt>
                <c:pt idx="286">
                  <c:v>-2.94624599233859</c:v>
                </c:pt>
                <c:pt idx="287">
                  <c:v>-2.96173707070381</c:v>
                </c:pt>
                <c:pt idx="288">
                  <c:v>-2.97556948260372</c:v>
                </c:pt>
                <c:pt idx="289">
                  <c:v>-2.98780560338322</c:v>
                </c:pt>
                <c:pt idx="290">
                  <c:v>-2.99850921296737</c:v>
                </c:pt>
                <c:pt idx="291">
                  <c:v>-3.00774544643111</c:v>
                </c:pt>
                <c:pt idx="292">
                  <c:v>-3.01558074075393</c:v>
                </c:pt>
                <c:pt idx="293">
                  <c:v>-3.02208277738705</c:v>
                </c:pt>
                <c:pt idx="294">
                  <c:v>-3.02732042032866</c:v>
                </c:pt>
                <c:pt idx="295">
                  <c:v>-3.03136364947017</c:v>
                </c:pt>
                <c:pt idx="296">
                  <c:v>-3.03428348905916</c:v>
                </c:pt>
                <c:pt idx="297">
                  <c:v>-3.03615193121544</c:v>
                </c:pt>
                <c:pt idx="298">
                  <c:v>-3.03704185453011</c:v>
                </c:pt>
                <c:pt idx="299">
                  <c:v>-3.03702693787593</c:v>
                </c:pt>
                <c:pt idx="300">
                  <c:v>-3.0361815696594</c:v>
                </c:pt>
                <c:pt idx="301">
                  <c:v>-3.03458075284299</c:v>
                </c:pt>
                <c:pt idx="302">
                  <c:v>-3.03230000616271</c:v>
                </c:pt>
                <c:pt idx="303">
                  <c:v>-3.02941526205989</c:v>
                </c:pt>
                <c:pt idx="304">
                  <c:v>-3.02600276192632</c:v>
                </c:pt>
                <c:pt idx="305">
                  <c:v>-3.02213894934197</c:v>
                </c:pt>
                <c:pt idx="306">
                  <c:v>-3.01790036204158</c:v>
                </c:pt>
                <c:pt idx="307">
                  <c:v>-3.01336352340504</c:v>
                </c:pt>
                <c:pt idx="308">
                  <c:v>-3.00860483429628</c:v>
                </c:pt>
                <c:pt idx="309">
                  <c:v>-3.00370046610091</c:v>
                </c:pt>
                <c:pt idx="310">
                  <c:v>-2.99872625581913</c:v>
                </c:pt>
                <c:pt idx="311">
                  <c:v>-2.99375760405859</c:v>
                </c:pt>
                <c:pt idx="312">
                  <c:v>-2.98886937674915</c:v>
                </c:pt>
                <c:pt idx="313">
                  <c:v>-2.98413581135694</c:v>
                </c:pt>
                <c:pt idx="314">
                  <c:v>-2.97963042832404</c:v>
                </c:pt>
                <c:pt idx="315">
                  <c:v>-2.97542594838927</c:v>
                </c:pt>
                <c:pt idx="316">
                  <c:v>-2.97159421636245</c:v>
                </c:pt>
                <c:pt idx="317">
                  <c:v>-2.96820613184056</c:v>
                </c:pt>
                <c:pt idx="318">
                  <c:v>-2.96533158724688</c:v>
                </c:pt>
                <c:pt idx="319">
                  <c:v>-2.96303941347348</c:v>
                </c:pt>
                <c:pt idx="320">
                  <c:v>-2.96139733329754</c:v>
                </c:pt>
                <c:pt idx="321">
                  <c:v>-2.96047192262704</c:v>
                </c:pt>
                <c:pt idx="322">
                  <c:v>-2.96032857951907</c:v>
                </c:pt>
                <c:pt idx="323">
                  <c:v>-2.96103150080942</c:v>
                </c:pt>
                <c:pt idx="324">
                  <c:v>-2.96264366607548</c:v>
                </c:pt>
                <c:pt idx="325">
                  <c:v>-2.96522682856542</c:v>
                </c:pt>
                <c:pt idx="326">
                  <c:v>-2.96884151262166</c:v>
                </c:pt>
                <c:pt idx="327">
                  <c:v>-2.9735470170512</c:v>
                </c:pt>
                <c:pt idx="328">
                  <c:v>-2.97940142381434</c:v>
                </c:pt>
                <c:pt idx="329">
                  <c:v>-2.98646161134156</c:v>
                </c:pt>
                <c:pt idx="330">
                  <c:v>-2.99478327173602</c:v>
                </c:pt>
                <c:pt idx="331">
                  <c:v>-3.00442093107442</c:v>
                </c:pt>
                <c:pt idx="332">
                  <c:v>-3.01542797199936</c:v>
                </c:pt>
                <c:pt idx="333">
                  <c:v>-3.02785665776701</c:v>
                </c:pt>
                <c:pt idx="334">
                  <c:v>-3.04175815692379</c:v>
                </c:pt>
                <c:pt idx="335">
                  <c:v>-3.05718256778284</c:v>
                </c:pt>
                <c:pt idx="336">
                  <c:v>-3.07417894189704</c:v>
                </c:pt>
                <c:pt idx="337">
                  <c:v>-3.092795305752</c:v>
                </c:pt>
                <c:pt idx="338">
                  <c:v>-3.11307867994507</c:v>
                </c:pt>
                <c:pt idx="339">
                  <c:v>-3.13507509516442</c:v>
                </c:pt>
                <c:pt idx="340">
                  <c:v>-3.15882960434279</c:v>
                </c:pt>
                <c:pt idx="341">
                  <c:v>-3.18438629042382</c:v>
                </c:pt>
                <c:pt idx="342">
                  <c:v>-3.21178826925519</c:v>
                </c:pt>
                <c:pt idx="343">
                  <c:v>-3.24107768719801</c:v>
                </c:pt>
                <c:pt idx="344">
                  <c:v>-3.27229571312951</c:v>
                </c:pt>
                <c:pt idx="345">
                  <c:v>-3.30548252459723</c:v>
                </c:pt>
                <c:pt idx="346">
                  <c:v>-3.3406772879818</c:v>
                </c:pt>
                <c:pt idx="347">
                  <c:v>-3.37791813260761</c:v>
                </c:pt>
                <c:pt idx="348">
                  <c:v>-3.41724211884153</c:v>
                </c:pt>
                <c:pt idx="349">
                  <c:v>-3.45868520030719</c:v>
                </c:pt>
                <c:pt idx="350">
                  <c:v>-3.50228218043576</c:v>
                </c:pt>
                <c:pt idx="351">
                  <c:v>-3.54806666366191</c:v>
                </c:pt>
                <c:pt idx="352">
                  <c:v>-3.59607100165931</c:v>
                </c:pt>
                <c:pt idx="353">
                  <c:v>-3.64632623509324</c:v>
                </c:pt>
                <c:pt idx="354">
                  <c:v>-3.69886203143779</c:v>
                </c:pt>
                <c:pt idx="355">
                  <c:v>-3.75370661948244</c:v>
                </c:pt>
                <c:pt idx="356">
                  <c:v>-3.81088672120799</c:v>
                </c:pt>
                <c:pt idx="357">
                  <c:v>-3.87042748177075</c:v>
                </c:pt>
                <c:pt idx="358">
                  <c:v>-3.93235239837517</c:v>
                </c:pt>
                <c:pt idx="359">
                  <c:v>-3.99668324885417</c:v>
                </c:pt>
                <c:pt idx="360">
                  <c:v>-4.06344002079922</c:v>
                </c:pt>
                <c:pt idx="361">
                  <c:v>-4.13264084209723</c:v>
                </c:pt>
                <c:pt idx="362">
                  <c:v>-4.20430191373554</c:v>
                </c:pt>
                <c:pt idx="363">
                  <c:v>-4.27843744572873</c:v>
                </c:pt>
                <c:pt idx="364">
                  <c:v>-4.35505959699918</c:v>
                </c:pt>
                <c:pt idx="365">
                  <c:v>-4.43417842001704</c:v>
                </c:pt>
                <c:pt idx="366">
                  <c:v>-4.51580181096127</c:v>
                </c:pt>
                <c:pt idx="367">
                  <c:v>-4.59993546611256</c:v>
                </c:pt>
                <c:pt idx="368">
                  <c:v>-4.68658284512834</c:v>
                </c:pt>
                <c:pt idx="369">
                  <c:v>-4.77574514178005</c:v>
                </c:pt>
                <c:pt idx="370">
                  <c:v>-4.8674212626546</c:v>
                </c:pt>
                <c:pt idx="371">
                  <c:v>-4.96160781423877</c:v>
                </c:pt>
                <c:pt idx="372">
                  <c:v>-5.05829909871481</c:v>
                </c:pt>
                <c:pt idx="373">
                  <c:v>-5.1574871187029</c:v>
                </c:pt>
                <c:pt idx="374">
                  <c:v>-5.25916159109006</c:v>
                </c:pt>
                <c:pt idx="375">
                  <c:v>-5.36330996998784</c:v>
                </c:pt>
                <c:pt idx="376">
                  <c:v>-5.46991747876735</c:v>
                </c:pt>
                <c:pt idx="377">
                  <c:v>-5.57896715102201</c:v>
                </c:pt>
                <c:pt idx="378">
                  <c:v>-5.69043988022306</c:v>
                </c:pt>
                <c:pt idx="379">
                  <c:v>-5.80431447774252</c:v>
                </c:pt>
                <c:pt idx="380">
                  <c:v>-5.92056773884228</c:v>
                </c:pt>
                <c:pt idx="381">
                  <c:v>-6.03917451615329</c:v>
                </c:pt>
                <c:pt idx="382">
                  <c:v>-6.1601078001046</c:v>
                </c:pt>
                <c:pt idx="383">
                  <c:v>-6.28333880570817</c:v>
                </c:pt>
                <c:pt idx="384">
                  <c:v>-6.40883706505508</c:v>
                </c:pt>
                <c:pt idx="385">
                  <c:v>-6.53657052484658</c:v>
                </c:pt>
                <c:pt idx="386">
                  <c:v>-6.66650564825136</c:v>
                </c:pt>
                <c:pt idx="387">
                  <c:v>-6.79860752036733</c:v>
                </c:pt>
                <c:pt idx="388">
                  <c:v>-6.93283995655426</c:v>
                </c:pt>
                <c:pt idx="389">
                  <c:v>-7.06916561290896</c:v>
                </c:pt>
                <c:pt idx="390">
                  <c:v>-7.20754609816011</c:v>
                </c:pt>
                <c:pt idx="391">
                  <c:v>-7.34794208628077</c:v>
                </c:pt>
                <c:pt idx="392">
                  <c:v>-7.49031342914093</c:v>
                </c:pt>
                <c:pt idx="393">
                  <c:v>-7.63461926855157</c:v>
                </c:pt>
                <c:pt idx="394">
                  <c:v>-7.78081814709292</c:v>
                </c:pt>
                <c:pt idx="395">
                  <c:v>-7.92886811715644</c:v>
                </c:pt>
                <c:pt idx="396">
                  <c:v>-8.07872684767971</c:v>
                </c:pt>
                <c:pt idx="397">
                  <c:v>-8.23035172809663</c:v>
                </c:pt>
                <c:pt idx="398">
                  <c:v>-8.38369996908211</c:v>
                </c:pt>
                <c:pt idx="399">
                  <c:v>-8.5387286997135</c:v>
                </c:pt>
                <c:pt idx="400">
                  <c:v>-8.69539506073116</c:v>
                </c:pt>
                <c:pt idx="401">
                  <c:v>-8.8536562936233</c:v>
                </c:pt>
                <c:pt idx="402">
                  <c:v>-9.01346982531674</c:v>
                </c:pt>
                <c:pt idx="403">
                  <c:v>-9.17479334830175</c:v>
                </c:pt>
                <c:pt idx="404">
                  <c:v>-9.33758489606395</c:v>
                </c:pt>
                <c:pt idx="405">
                  <c:v>-9.50180291374261</c:v>
                </c:pt>
                <c:pt idx="406">
                  <c:v>-9.66740632397489</c:v>
                </c:pt>
                <c:pt idx="407">
                  <c:v>-9.83435458792347</c:v>
                </c:pt>
                <c:pt idx="408">
                  <c:v>-10.0026077615213</c:v>
                </c:pt>
                <c:pt idx="409">
                  <c:v>-10.1721265469971</c:v>
                </c:pt>
                <c:pt idx="410">
                  <c:v>-10.3428723397754</c:v>
                </c:pt>
                <c:pt idx="411">
                  <c:v>-10.5148072708688</c:v>
                </c:pt>
                <c:pt idx="412">
                  <c:v>-10.687894244901</c:v>
                </c:pt>
                <c:pt idx="413">
                  <c:v>-10.8620969739207</c:v>
                </c:pt>
                <c:pt idx="414">
                  <c:v>-11.0373800071782</c:v>
                </c:pt>
                <c:pt idx="415">
                  <c:v>-11.2137087570515</c:v>
                </c:pt>
                <c:pt idx="416">
                  <c:v>-11.3910495213188</c:v>
                </c:pt>
                <c:pt idx="417">
                  <c:v>-11.5693695019783</c:v>
                </c:pt>
                <c:pt idx="418">
                  <c:v>-11.7486368208253</c:v>
                </c:pt>
                <c:pt idx="419">
                  <c:v>-11.9288205319973</c:v>
                </c:pt>
                <c:pt idx="420">
                  <c:v>-12.1098906316988</c:v>
                </c:pt>
                <c:pt idx="421">
                  <c:v>-12.2918180653168</c:v>
                </c:pt>
                <c:pt idx="422">
                  <c:v>-12.4745747321353</c:v>
                </c:pt>
                <c:pt idx="423">
                  <c:v>-12.6581334878566</c:v>
                </c:pt>
                <c:pt idx="424">
                  <c:v>-12.842468145126</c:v>
                </c:pt>
                <c:pt idx="425">
                  <c:v>-13.0275534722591</c:v>
                </c:pt>
                <c:pt idx="426">
                  <c:v>-13.213365190357</c:v>
                </c:pt>
                <c:pt idx="427">
                  <c:v>-13.3998799689929</c:v>
                </c:pt>
                <c:pt idx="428">
                  <c:v>-13.5870754206431</c:v>
                </c:pt>
                <c:pt idx="429">
                  <c:v>-13.7749300940293</c:v>
                </c:pt>
                <c:pt idx="430">
                  <c:v>-13.9634234665302</c:v>
                </c:pt>
                <c:pt idx="431">
                  <c:v>-14.1525359358111</c:v>
                </c:pt>
                <c:pt idx="432">
                  <c:v>-14.3422488108156</c:v>
                </c:pt>
                <c:pt idx="433">
                  <c:v>-14.5325443022489</c:v>
                </c:pt>
                <c:pt idx="434">
                  <c:v>-14.723405512681</c:v>
                </c:pt>
                <c:pt idx="435">
                  <c:v>-14.9148164263849</c:v>
                </c:pt>
                <c:pt idx="436">
                  <c:v>-15.1067618990193</c:v>
                </c:pt>
                <c:pt idx="437">
                  <c:v>-15.2992276472561</c:v>
                </c:pt>
                <c:pt idx="438">
                  <c:v>-15.4922002384491</c:v>
                </c:pt>
                <c:pt idx="439">
                  <c:v>-15.6856670804263</c:v>
                </c:pt>
                <c:pt idx="440">
                  <c:v>-15.8796164114898</c:v>
                </c:pt>
                <c:pt idx="441">
                  <c:v>-16.0740372906937</c:v>
                </c:pt>
                <c:pt idx="442">
                  <c:v>-16.2689195884671</c:v>
                </c:pt>
                <c:pt idx="443">
                  <c:v>-16.4642539776441</c:v>
                </c:pt>
                <c:pt idx="444">
                  <c:v>-16.6600319249539</c:v>
                </c:pt>
                <c:pt idx="445">
                  <c:v>-16.856245683022</c:v>
                </c:pt>
                <c:pt idx="446">
                  <c:v>-17.0528882829263</c:v>
                </c:pt>
                <c:pt idx="447">
                  <c:v>-17.2499535273461</c:v>
                </c:pt>
                <c:pt idx="448">
                  <c:v>-17.4474359843408</c:v>
                </c:pt>
                <c:pt idx="449">
                  <c:v>-17.6453309817859</c:v>
                </c:pt>
                <c:pt idx="450">
                  <c:v>-17.8436346024943</c:v>
                </c:pt>
                <c:pt idx="451">
                  <c:v>-18.0423436800411</c:v>
                </c:pt>
                <c:pt idx="452">
                  <c:v>-18.2414557953137</c:v>
                </c:pt>
                <c:pt idx="453">
                  <c:v>-18.4409692737958</c:v>
                </c:pt>
                <c:pt idx="454">
                  <c:v>-18.6408831836004</c:v>
                </c:pt>
                <c:pt idx="455">
                  <c:v>-18.8411973342522</c:v>
                </c:pt>
                <c:pt idx="456">
                  <c:v>-19.0419122762265</c:v>
                </c:pt>
                <c:pt idx="457">
                  <c:v>-19.2430293012407</c:v>
                </c:pt>
                <c:pt idx="458">
                  <c:v>-19.4445504432935</c:v>
                </c:pt>
                <c:pt idx="459">
                  <c:v>-19.6464784804447</c:v>
                </c:pt>
                <c:pt idx="460">
                  <c:v>-19.8488169373212</c:v>
                </c:pt>
                <c:pt idx="461">
                  <c:v>-20.0515700883352</c:v>
                </c:pt>
                <c:pt idx="462">
                  <c:v>-20.2547429615914</c:v>
                </c:pt>
                <c:pt idx="463">
                  <c:v>-20.4583413434635</c:v>
                </c:pt>
                <c:pt idx="464">
                  <c:v>-20.6623717838055</c:v>
                </c:pt>
                <c:pt idx="465">
                  <c:v>-20.8668416017717</c:v>
                </c:pt>
                <c:pt idx="466">
                  <c:v>-21.0717588922029</c:v>
                </c:pt>
                <c:pt idx="467">
                  <c:v>-21.2771325325387</c:v>
                </c:pt>
                <c:pt idx="468">
                  <c:v>-21.4829721902093</c:v>
                </c:pt>
                <c:pt idx="469">
                  <c:v>-21.6892883304526</c:v>
                </c:pt>
                <c:pt idx="470">
                  <c:v>-21.8960922244997</c:v>
                </c:pt>
                <c:pt idx="471">
                  <c:v>-22.1033959580658</c:v>
                </c:pt>
                <c:pt idx="472">
                  <c:v>-22.3112124400731</c:v>
                </c:pt>
                <c:pt idx="473">
                  <c:v>-22.5195554115341</c:v>
                </c:pt>
                <c:pt idx="474">
                  <c:v>-22.7284394545086</c:v>
                </c:pt>
                <c:pt idx="475">
                  <c:v>-22.9378800010453</c:v>
                </c:pt>
                <c:pt idx="476">
                  <c:v>-23.1478933420119</c:v>
                </c:pt>
                <c:pt idx="477">
                  <c:v>-23.3584966357065</c:v>
                </c:pt>
                <c:pt idx="478">
                  <c:v>-23.5697079161416</c:v>
                </c:pt>
                <c:pt idx="479">
                  <c:v>-23.7815461008745</c:v>
                </c:pt>
                <c:pt idx="480">
                  <c:v>-23.9940309982621</c:v>
                </c:pt>
                <c:pt idx="481">
                  <c:v>-24.2071833139974</c:v>
                </c:pt>
                <c:pt idx="482">
                  <c:v>-24.4210246567865</c:v>
                </c:pt>
                <c:pt idx="483">
                  <c:v>-24.6355775430103</c:v>
                </c:pt>
                <c:pt idx="484">
                  <c:v>-24.8508654002112</c:v>
                </c:pt>
                <c:pt idx="485">
                  <c:v>-25.0669125692328</c:v>
                </c:pt>
                <c:pt idx="486">
                  <c:v>-25.2837443048374</c:v>
                </c:pt>
                <c:pt idx="487">
                  <c:v>-25.5013867746148</c:v>
                </c:pt>
                <c:pt idx="488">
                  <c:v>-25.7198670559916</c:v>
                </c:pt>
                <c:pt idx="489">
                  <c:v>-25.9392131311432</c:v>
                </c:pt>
                <c:pt idx="490">
                  <c:v>-26.1594538796047</c:v>
                </c:pt>
                <c:pt idx="491">
                  <c:v>-26.380619068373</c:v>
                </c:pt>
                <c:pt idx="492">
                  <c:v>-26.6027393392914</c:v>
                </c:pt>
                <c:pt idx="493">
                  <c:v>-26.8258461935004</c:v>
                </c:pt>
                <c:pt idx="494">
                  <c:v>-27.0499719727454</c:v>
                </c:pt>
                <c:pt idx="495">
                  <c:v>-27.2751498373278</c:v>
                </c:pt>
                <c:pt idx="496">
                  <c:v>-27.5014137404925</c:v>
                </c:pt>
                <c:pt idx="497">
                  <c:v>-27.7287983990477</c:v>
                </c:pt>
                <c:pt idx="498">
                  <c:v>-27.9573392600265</c:v>
                </c:pt>
                <c:pt idx="499">
                  <c:v>-28.1870724632023</c:v>
                </c:pt>
                <c:pt idx="500">
                  <c:v>-28.418034799291</c:v>
                </c:pt>
                <c:pt idx="501">
                  <c:v>-28.6502636636851</c:v>
                </c:pt>
                <c:pt idx="502">
                  <c:v>-28.8837970055853</c:v>
                </c:pt>
                <c:pt idx="503">
                  <c:v>-29.1186732724196</c:v>
                </c:pt>
                <c:pt idx="504">
                  <c:v>-29.3549313494639</c:v>
                </c:pt>
                <c:pt idx="505">
                  <c:v>-29.592610494609</c:v>
                </c:pt>
                <c:pt idx="506">
                  <c:v>-29.831750268251</c:v>
                </c:pt>
                <c:pt idx="507">
                  <c:v>-30.0723904583218</c:v>
                </c:pt>
                <c:pt idx="508">
                  <c:v>-30.3145710005094</c:v>
                </c:pt>
                <c:pt idx="509">
                  <c:v>-30.5583318937698</c:v>
                </c:pt>
                <c:pt idx="510">
                  <c:v>-30.8037131112667</c:v>
                </c:pt>
                <c:pt idx="511">
                  <c:v>-31.0507545069349</c:v>
                </c:pt>
                <c:pt idx="512">
                  <c:v>-31.2994957179051</c:v>
                </c:pt>
                <c:pt idx="513">
                  <c:v>-31.5499760630815</c:v>
                </c:pt>
                <c:pt idx="514">
                  <c:v>-31.8022344382211</c:v>
                </c:pt>
                <c:pt idx="515">
                  <c:v>-32.0563092079075</c:v>
                </c:pt>
                <c:pt idx="516">
                  <c:v>-32.3122380948762</c:v>
                </c:pt>
                <c:pt idx="517">
                  <c:v>-32.5700580671901</c:v>
                </c:pt>
                <c:pt idx="518">
                  <c:v>-32.8298052238187</c:v>
                </c:pt>
                <c:pt idx="519">
                  <c:v>-33.0915146792215</c:v>
                </c:pt>
                <c:pt idx="520">
                  <c:v>-33.3552204475785</c:v>
                </c:pt>
                <c:pt idx="521">
                  <c:v>-33.6209553273464</c:v>
                </c:pt>
                <c:pt idx="522">
                  <c:v>-33.8887507868581</c:v>
                </c:pt>
                <c:pt idx="523">
                  <c:v>-34.1586368517033</c:v>
                </c:pt>
                <c:pt idx="524">
                  <c:v>-34.4306419946528</c:v>
                </c:pt>
                <c:pt idx="525">
                  <c:v>-34.7047930288965</c:v>
                </c:pt>
                <c:pt idx="526">
                  <c:v>-34.9811150053693</c:v>
                </c:pt>
                <c:pt idx="527">
                  <c:v>-35.2596311149349</c:v>
                </c:pt>
                <c:pt idx="528">
                  <c:v>-35.5403625961786</c:v>
                </c:pt>
                <c:pt idx="529">
                  <c:v>-35.8233286495382</c:v>
                </c:pt>
                <c:pt idx="530">
                  <c:v>-36.1085463584649</c:v>
                </c:pt>
                <c:pt idx="531">
                  <c:v>-36.3960306182638</c:v>
                </c:pt>
                <c:pt idx="532">
                  <c:v>-36.68579407321</c:v>
                </c:pt>
                <c:pt idx="533">
                  <c:v>-36.9778470624734</c:v>
                </c:pt>
                <c:pt idx="534">
                  <c:v>-37.2721975753185</c:v>
                </c:pt>
                <c:pt idx="535">
                  <c:v>-37.5688512159659</c:v>
                </c:pt>
                <c:pt idx="536">
                  <c:v>-37.8678111784219</c:v>
                </c:pt>
                <c:pt idx="537">
                  <c:v>-38.1690782314966</c:v>
                </c:pt>
                <c:pt idx="538">
                  <c:v>-38.472650714138</c:v>
                </c:pt>
                <c:pt idx="539">
                  <c:v>-38.7785245411199</c:v>
                </c:pt>
                <c:pt idx="540">
                  <c:v>-39.0866932190265</c:v>
                </c:pt>
                <c:pt idx="541">
                  <c:v>-39.3971478723869</c:v>
                </c:pt>
              </c:numCache>
            </c:numRef>
          </c:yVal>
          <c:smooth val="1"/>
        </c:ser>
        <c:dLbls>
          <c:showLegendKey val="0"/>
          <c:showVal val="0"/>
          <c:showCatName val="0"/>
          <c:showSerName val="0"/>
          <c:showPercent val="0"/>
          <c:showBubbleSize val="0"/>
        </c:dLbls>
        <c:axId val="178953600"/>
        <c:axId val="178959872"/>
      </c:scatterChart>
      <c:scatterChart>
        <c:scatterStyle val="smooth"/>
        <c:varyColors val="0"/>
        <c:ser>
          <c:idx val="1"/>
          <c:order val="1"/>
          <c:spPr>
            <a:ln w="38100" cap="rnd" cmpd="sng" algn="ctr">
              <a:solidFill>
                <a:schemeClr val="tx1">
                  <a:lumMod val="95000"/>
                  <a:lumOff val="5000"/>
                </a:schemeClr>
              </a:solidFill>
              <a:prstDash val="sysDash"/>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Loop_Modeling!$BM$19:$BM$560</c:f>
              <c:numCache>
                <c:formatCode>General</c:formatCode>
                <c:ptCount val="542"/>
                <c:pt idx="0">
                  <c:v>84.4042018112445</c:v>
                </c:pt>
                <c:pt idx="1">
                  <c:v>84.2758427991387</c:v>
                </c:pt>
                <c:pt idx="2">
                  <c:v>84.1446336940738</c:v>
                </c:pt>
                <c:pt idx="3">
                  <c:v>84.0105178517381</c:v>
                </c:pt>
                <c:pt idx="4">
                  <c:v>83.8734379749968</c:v>
                </c:pt>
                <c:pt idx="5">
                  <c:v>83.7333361427967</c:v>
                </c:pt>
                <c:pt idx="6">
                  <c:v>83.5901538424878</c:v>
                </c:pt>
                <c:pt idx="7">
                  <c:v>83.4438320057856</c:v>
                </c:pt>
                <c:pt idx="8">
                  <c:v>83.2943110486172</c:v>
                </c:pt>
                <c:pt idx="9">
                  <c:v>83.1415309151005</c:v>
                </c:pt>
                <c:pt idx="10">
                  <c:v>82.9854311259171</c:v>
                </c:pt>
                <c:pt idx="11">
                  <c:v>82.8259508313533</c:v>
                </c:pt>
                <c:pt idx="12">
                  <c:v>82.6630288692908</c:v>
                </c:pt>
                <c:pt idx="13">
                  <c:v>82.4966038284419</c:v>
                </c:pt>
                <c:pt idx="14">
                  <c:v>82.3266141171344</c:v>
                </c:pt>
                <c:pt idx="15">
                  <c:v>82.1529980379592</c:v>
                </c:pt>
                <c:pt idx="16">
                  <c:v>81.9756938686079</c:v>
                </c:pt>
                <c:pt idx="17">
                  <c:v>81.7946399492292</c:v>
                </c:pt>
                <c:pt idx="18">
                  <c:v>81.6097747766505</c:v>
                </c:pt>
                <c:pt idx="19">
                  <c:v>81.4210371058076</c:v>
                </c:pt>
                <c:pt idx="20">
                  <c:v>81.2283660587419</c:v>
                </c:pt>
                <c:pt idx="21">
                  <c:v>81.0317012415198</c:v>
                </c:pt>
                <c:pt idx="22">
                  <c:v>80.8309828694386</c:v>
                </c:pt>
                <c:pt idx="23">
                  <c:v>80.626151900878</c:v>
                </c:pt>
                <c:pt idx="24">
                  <c:v>80.4171501801637</c:v>
                </c:pt>
                <c:pt idx="25">
                  <c:v>80.2039205897932</c:v>
                </c:pt>
                <c:pt idx="26">
                  <c:v>79.9864072123834</c:v>
                </c:pt>
                <c:pt idx="27">
                  <c:v>79.7645555026708</c:v>
                </c:pt>
                <c:pt idx="28">
                  <c:v>79.5383124699033</c:v>
                </c:pt>
                <c:pt idx="29">
                  <c:v>79.3076268709232</c:v>
                </c:pt>
                <c:pt idx="30">
                  <c:v>79.0724494142394</c:v>
                </c:pt>
                <c:pt idx="31">
                  <c:v>78.8327329753466</c:v>
                </c:pt>
                <c:pt idx="32">
                  <c:v>78.5884328235251</c:v>
                </c:pt>
                <c:pt idx="33">
                  <c:v>78.3395068603135</c:v>
                </c:pt>
                <c:pt idx="34">
                  <c:v>78.08591586981</c:v>
                </c:pt>
                <c:pt idx="35">
                  <c:v>77.8276237808985</c:v>
                </c:pt>
                <c:pt idx="36">
                  <c:v>77.5645979414505</c:v>
                </c:pt>
                <c:pt idx="37">
                  <c:v>77.2968094044803</c:v>
                </c:pt>
                <c:pt idx="38">
                  <c:v>77.024233226166</c:v>
                </c:pt>
                <c:pt idx="39">
                  <c:v>76.7468487755647</c:v>
                </c:pt>
                <c:pt idx="40">
                  <c:v>76.464640055768</c:v>
                </c:pt>
                <c:pt idx="41">
                  <c:v>76.177596036139</c:v>
                </c:pt>
                <c:pt idx="42">
                  <c:v>75.8857109951746</c:v>
                </c:pt>
                <c:pt idx="43">
                  <c:v>75.5889848734181</c:v>
                </c:pt>
                <c:pt idx="44">
                  <c:v>75.2874236357246</c:v>
                </c:pt>
                <c:pt idx="45">
                  <c:v>74.9810396420506</c:v>
                </c:pt>
                <c:pt idx="46">
                  <c:v>74.6698520257993</c:v>
                </c:pt>
                <c:pt idx="47">
                  <c:v>74.3538870786016</c:v>
                </c:pt>
                <c:pt idx="48">
                  <c:v>74.0331786402626</c:v>
                </c:pt>
                <c:pt idx="49">
                  <c:v>73.7077684924361</c:v>
                </c:pt>
                <c:pt idx="50">
                  <c:v>73.3777067544249</c:v>
                </c:pt>
                <c:pt idx="51">
                  <c:v>73.0430522793315</c:v>
                </c:pt>
                <c:pt idx="52">
                  <c:v>72.7038730486111</c:v>
                </c:pt>
                <c:pt idx="53">
                  <c:v>72.3602465628987</c:v>
                </c:pt>
                <c:pt idx="54">
                  <c:v>72.0122602268136</c:v>
                </c:pt>
                <c:pt idx="55">
                  <c:v>71.6600117252676</c:v>
                </c:pt>
                <c:pt idx="56">
                  <c:v>71.3036093886388</c:v>
                </c:pt>
                <c:pt idx="57">
                  <c:v>70.9431725440187</c:v>
                </c:pt>
                <c:pt idx="58">
                  <c:v>70.5788318495866</c:v>
                </c:pt>
                <c:pt idx="59">
                  <c:v>70.2107296090409</c:v>
                </c:pt>
                <c:pt idx="60">
                  <c:v>69.8390200628972</c:v>
                </c:pt>
                <c:pt idx="61">
                  <c:v>69.4638696533707</c:v>
                </c:pt>
                <c:pt idx="62">
                  <c:v>69.0854572594909</c:v>
                </c:pt>
                <c:pt idx="63">
                  <c:v>68.7039743990545</c:v>
                </c:pt>
                <c:pt idx="64">
                  <c:v>68.3196253940114</c:v>
                </c:pt>
                <c:pt idx="65">
                  <c:v>67.932627495897</c:v>
                </c:pt>
                <c:pt idx="66">
                  <c:v>67.5432109679933</c:v>
                </c:pt>
                <c:pt idx="67">
                  <c:v>67.1516191209821</c:v>
                </c:pt>
                <c:pt idx="68">
                  <c:v>66.7581082990153</c:v>
                </c:pt>
                <c:pt idx="69">
                  <c:v>66.3629478132842</c:v>
                </c:pt>
                <c:pt idx="70">
                  <c:v>65.9664198204173</c:v>
                </c:pt>
                <c:pt idx="71">
                  <c:v>65.5688191432894</c:v>
                </c:pt>
                <c:pt idx="72">
                  <c:v>65.1704530321424</c:v>
                </c:pt>
                <c:pt idx="73">
                  <c:v>64.7716408642726</c:v>
                </c:pt>
                <c:pt idx="74">
                  <c:v>64.3727137809301</c:v>
                </c:pt>
                <c:pt idx="75">
                  <c:v>63.9740142605028</c:v>
                </c:pt>
                <c:pt idx="76">
                  <c:v>63.575895627522</c:v>
                </c:pt>
                <c:pt idx="77">
                  <c:v>63.1787214975108</c:v>
                </c:pt>
                <c:pt idx="78">
                  <c:v>62.7828651582109</c:v>
                </c:pt>
                <c:pt idx="79">
                  <c:v>62.3887088882361</c:v>
                </c:pt>
                <c:pt idx="80">
                  <c:v>61.9966432147475</c:v>
                </c:pt>
                <c:pt idx="81">
                  <c:v>61.6070661122641</c:v>
                </c:pt>
                <c:pt idx="82">
                  <c:v>61.220382145254</c:v>
                </c:pt>
                <c:pt idx="83">
                  <c:v>60.8370015576555</c:v>
                </c:pt>
                <c:pt idx="84">
                  <c:v>60.4573393129638</c:v>
                </c:pt>
                <c:pt idx="85">
                  <c:v>60.0818140889702</c:v>
                </c:pt>
                <c:pt idx="86">
                  <c:v>59.7108472316538</c:v>
                </c:pt>
                <c:pt idx="87">
                  <c:v>59.3448616730926</c:v>
                </c:pt>
                <c:pt idx="88">
                  <c:v>58.9842808185774</c:v>
                </c:pt>
                <c:pt idx="89">
                  <c:v>58.6295274083693</c:v>
                </c:pt>
                <c:pt idx="90">
                  <c:v>58.2810223597359</c:v>
                </c:pt>
                <c:pt idx="91">
                  <c:v>57.939183595044</c:v>
                </c:pt>
                <c:pt idx="92">
                  <c:v>57.6044248617424</c:v>
                </c:pt>
                <c:pt idx="93">
                  <c:v>57.2771545500877</c:v>
                </c:pt>
                <c:pt idx="94">
                  <c:v>56.9577745143909</c:v>
                </c:pt>
                <c:pt idx="95">
                  <c:v>56.6466789034583</c:v>
                </c:pt>
                <c:pt idx="96">
                  <c:v>56.344253005709</c:v>
                </c:pt>
                <c:pt idx="97">
                  <c:v>56.0508721142359</c:v>
                </c:pt>
                <c:pt idx="98">
                  <c:v>55.7669004167896</c:v>
                </c:pt>
                <c:pt idx="99">
                  <c:v>55.492689915363</c:v>
                </c:pt>
                <c:pt idx="100">
                  <c:v>55.2285793797043</c:v>
                </c:pt>
                <c:pt idx="101">
                  <c:v>54.9748933387154</c:v>
                </c:pt>
                <c:pt idx="102">
                  <c:v>54.7319411133231</c:v>
                </c:pt>
                <c:pt idx="103">
                  <c:v>54.5000158939966</c:v>
                </c:pt>
                <c:pt idx="104">
                  <c:v>54.2793938657257</c:v>
                </c:pt>
                <c:pt idx="105">
                  <c:v>54.0703333828633</c:v>
                </c:pt>
                <c:pt idx="106">
                  <c:v>53.8730741958923</c:v>
                </c:pt>
                <c:pt idx="107">
                  <c:v>53.6878367318197</c:v>
                </c:pt>
                <c:pt idx="108">
                  <c:v>53.5148214295843</c:v>
                </c:pt>
                <c:pt idx="109">
                  <c:v>53.3542081315771</c:v>
                </c:pt>
                <c:pt idx="110">
                  <c:v>53.2061555321192</c:v>
                </c:pt>
                <c:pt idx="111">
                  <c:v>53.070800683516</c:v>
                </c:pt>
                <c:pt idx="112">
                  <c:v>52.9482585601329</c:v>
                </c:pt>
                <c:pt idx="113">
                  <c:v>52.8386216807738</c:v>
                </c:pt>
                <c:pt idx="114">
                  <c:v>52.7419597895458</c:v>
                </c:pt>
                <c:pt idx="115">
                  <c:v>52.6583195952952</c:v>
                </c:pt>
                <c:pt idx="116">
                  <c:v>52.5877245696557</c:v>
                </c:pt>
                <c:pt idx="117">
                  <c:v>52.5301748037119</c:v>
                </c:pt>
                <c:pt idx="118">
                  <c:v>52.4856469232668</c:v>
                </c:pt>
                <c:pt idx="119">
                  <c:v>52.4540940627123</c:v>
                </c:pt>
                <c:pt idx="120">
                  <c:v>52.4354458974955</c:v>
                </c:pt>
                <c:pt idx="121">
                  <c:v>52.4296087351941</c:v>
                </c:pt>
                <c:pt idx="122">
                  <c:v>52.436465665216</c:v>
                </c:pt>
                <c:pt idx="123">
                  <c:v>52.4558767671243</c:v>
                </c:pt>
                <c:pt idx="124">
                  <c:v>52.4876793775821</c:v>
                </c:pt>
                <c:pt idx="125">
                  <c:v>52.5316884158512</c:v>
                </c:pt>
                <c:pt idx="126">
                  <c:v>52.5876967677184</c:v>
                </c:pt>
                <c:pt idx="127">
                  <c:v>52.6554757276227</c:v>
                </c:pt>
                <c:pt idx="128">
                  <c:v>52.7347754986172</c:v>
                </c:pt>
                <c:pt idx="129">
                  <c:v>52.8253257496417</c:v>
                </c:pt>
                <c:pt idx="130">
                  <c:v>52.9268362293675</c:v>
                </c:pt>
                <c:pt idx="131">
                  <c:v>53.0389974356485</c:v>
                </c:pt>
                <c:pt idx="132">
                  <c:v>53.1614813393279</c:v>
                </c:pt>
                <c:pt idx="133">
                  <c:v>53.2939421608552</c:v>
                </c:pt>
                <c:pt idx="134">
                  <c:v>53.4360171978251</c:v>
                </c:pt>
                <c:pt idx="135">
                  <c:v>53.5873277012061</c:v>
                </c:pt>
                <c:pt idx="136">
                  <c:v>53.7474797976418</c:v>
                </c:pt>
                <c:pt idx="137">
                  <c:v>53.9160654548247</c:v>
                </c:pt>
                <c:pt idx="138">
                  <c:v>54.0926634865621</c:v>
                </c:pt>
                <c:pt idx="139">
                  <c:v>54.2768405937545</c:v>
                </c:pt>
                <c:pt idx="140">
                  <c:v>54.4681524371486</c:v>
                </c:pt>
                <c:pt idx="141">
                  <c:v>54.6661447373594</c:v>
                </c:pt>
                <c:pt idx="142">
                  <c:v>54.8703543973387</c:v>
                </c:pt>
                <c:pt idx="143">
                  <c:v>55.080310642177</c:v>
                </c:pt>
                <c:pt idx="144">
                  <c:v>55.2955361708771</c:v>
                </c:pt>
                <c:pt idx="145">
                  <c:v>55.5155483145376</c:v>
                </c:pt>
                <c:pt idx="146">
                  <c:v>55.7398601952476</c:v>
                </c:pt>
                <c:pt idx="147">
                  <c:v>55.9679818799069</c:v>
                </c:pt>
                <c:pt idx="148">
                  <c:v>56.1994215231659</c:v>
                </c:pt>
                <c:pt idx="149">
                  <c:v>56.4336864937216</c:v>
                </c:pt>
                <c:pt idx="150">
                  <c:v>56.6702844783218</c:v>
                </c:pt>
                <c:pt idx="151">
                  <c:v>56.9087245579942</c:v>
                </c:pt>
                <c:pt idx="152">
                  <c:v>57.1485182512598</c:v>
                </c:pt>
                <c:pt idx="153">
                  <c:v>57.3891805193825</c:v>
                </c:pt>
                <c:pt idx="154">
                  <c:v>57.6302307290589</c:v>
                </c:pt>
                <c:pt idx="155">
                  <c:v>57.8711935683465</c:v>
                </c:pt>
                <c:pt idx="156">
                  <c:v>58.1115999120747</c:v>
                </c:pt>
                <c:pt idx="157">
                  <c:v>58.3509876334584</c:v>
                </c:pt>
                <c:pt idx="158">
                  <c:v>58.5889023591347</c:v>
                </c:pt>
                <c:pt idx="159">
                  <c:v>58.824898165376</c:v>
                </c:pt>
                <c:pt idx="160">
                  <c:v>59.0585382137564</c:v>
                </c:pt>
                <c:pt idx="161">
                  <c:v>59.2893953251024</c:v>
                </c:pt>
                <c:pt idx="162">
                  <c:v>59.5170524910809</c:v>
                </c:pt>
                <c:pt idx="163">
                  <c:v>59.7411033233119</c:v>
                </c:pt>
                <c:pt idx="164">
                  <c:v>59.9611524403938</c:v>
                </c:pt>
                <c:pt idx="165">
                  <c:v>60.1768157937091</c:v>
                </c:pt>
                <c:pt idx="166">
                  <c:v>60.3877209333399</c:v>
                </c:pt>
                <c:pt idx="167">
                  <c:v>60.5935072158275</c:v>
                </c:pt>
                <c:pt idx="168">
                  <c:v>60.7938259559039</c:v>
                </c:pt>
                <c:pt idx="169">
                  <c:v>60.9883405246468</c:v>
                </c:pt>
                <c:pt idx="170">
                  <c:v>61.1767263968297</c:v>
                </c:pt>
                <c:pt idx="171">
                  <c:v>61.3586711504697</c:v>
                </c:pt>
                <c:pt idx="172">
                  <c:v>61.5338744218032</c:v>
                </c:pt>
                <c:pt idx="173">
                  <c:v>61.7020478190831</c:v>
                </c:pt>
                <c:pt idx="174">
                  <c:v>61.862914798712</c:v>
                </c:pt>
                <c:pt idx="175">
                  <c:v>62.016210507326</c:v>
                </c:pt>
                <c:pt idx="176">
                  <c:v>62.1616815934752</c:v>
                </c:pt>
                <c:pt idx="177">
                  <c:v>62.2990859925789</c:v>
                </c:pt>
                <c:pt idx="178">
                  <c:v>62.4281926887997</c:v>
                </c:pt>
                <c:pt idx="179">
                  <c:v>62.5487814574448</c:v>
                </c:pt>
                <c:pt idx="180">
                  <c:v>62.6606425914191</c:v>
                </c:pt>
                <c:pt idx="181">
                  <c:v>62.7635766151708</c:v>
                </c:pt>
                <c:pt idx="182">
                  <c:v>62.857393989439</c:v>
                </c:pt>
                <c:pt idx="183">
                  <c:v>62.9419148099947</c:v>
                </c:pt>
                <c:pt idx="184">
                  <c:v>63.0169685034132</c:v>
                </c:pt>
                <c:pt idx="185">
                  <c:v>63.0823935227603</c:v>
                </c:pt>
                <c:pt idx="186">
                  <c:v>63.1380370459113</c:v>
                </c:pt>
                <c:pt idx="187">
                  <c:v>63.1837546790524</c:v>
                </c:pt>
                <c:pt idx="188">
                  <c:v>63.2194101677395</c:v>
                </c:pt>
                <c:pt idx="189">
                  <c:v>63.244875117713</c:v>
                </c:pt>
                <c:pt idx="190">
                  <c:v>63.2600287274879</c:v>
                </c:pt>
                <c:pt idx="191">
                  <c:v>63.2647575345767</c:v>
                </c:pt>
                <c:pt idx="192">
                  <c:v>63.2589551770099</c:v>
                </c:pt>
                <c:pt idx="193">
                  <c:v>63.2425221716649</c:v>
                </c:pt>
                <c:pt idx="194">
                  <c:v>63.2153657107407</c:v>
                </c:pt>
                <c:pt idx="195">
                  <c:v>63.1773994775517</c:v>
                </c:pt>
                <c:pt idx="196">
                  <c:v>63.1285434826554</c:v>
                </c:pt>
                <c:pt idx="197">
                  <c:v>63.0687239211782</c:v>
                </c:pt>
                <c:pt idx="198">
                  <c:v>62.9978730520392</c:v>
                </c:pt>
                <c:pt idx="199">
                  <c:v>62.9159290996361</c:v>
                </c:pt>
                <c:pt idx="200">
                  <c:v>62.8228361784022</c:v>
                </c:pt>
                <c:pt idx="201">
                  <c:v>62.7185442405007</c:v>
                </c:pt>
                <c:pt idx="202">
                  <c:v>62.6030090467832</c:v>
                </c:pt>
                <c:pt idx="203">
                  <c:v>62.47619216099</c:v>
                </c:pt>
                <c:pt idx="204">
                  <c:v>62.3380609670344</c:v>
                </c:pt>
                <c:pt idx="205">
                  <c:v>62.1885887090675</c:v>
                </c:pt>
                <c:pt idx="206">
                  <c:v>62.0277545538764</c:v>
                </c:pt>
                <c:pt idx="207">
                  <c:v>61.8555436750192</c:v>
                </c:pt>
                <c:pt idx="208">
                  <c:v>61.6719473579591</c:v>
                </c:pt>
                <c:pt idx="209">
                  <c:v>61.476963125301</c:v>
                </c:pt>
                <c:pt idx="210">
                  <c:v>61.2705948810847</c:v>
                </c:pt>
                <c:pt idx="211">
                  <c:v>61.0528530729242</c:v>
                </c:pt>
                <c:pt idx="212">
                  <c:v>60.8237548706311</c:v>
                </c:pt>
                <c:pt idx="213">
                  <c:v>60.5833243597824</c:v>
                </c:pt>
                <c:pt idx="214">
                  <c:v>60.3315927485344</c:v>
                </c:pt>
                <c:pt idx="215">
                  <c:v>60.0685985858106</c:v>
                </c:pt>
                <c:pt idx="216">
                  <c:v>59.7943879888165</c:v>
                </c:pt>
                <c:pt idx="217">
                  <c:v>59.5090148776662</c:v>
                </c:pt>
                <c:pt idx="218">
                  <c:v>59.2125412147281</c:v>
                </c:pt>
                <c:pt idx="219">
                  <c:v>58.9050372461333</c:v>
                </c:pt>
                <c:pt idx="220">
                  <c:v>58.5865817427177</c:v>
                </c:pt>
                <c:pt idx="221">
                  <c:v>58.2572622375118</c:v>
                </c:pt>
                <c:pt idx="222">
                  <c:v>57.9171752567481</c:v>
                </c:pt>
                <c:pt idx="223">
                  <c:v>57.5664265412047</c:v>
                </c:pt>
                <c:pt idx="224">
                  <c:v>57.2051312545849</c:v>
                </c:pt>
                <c:pt idx="225">
                  <c:v>56.8334141755294</c:v>
                </c:pt>
                <c:pt idx="226">
                  <c:v>56.4514098697602</c:v>
                </c:pt>
                <c:pt idx="227">
                  <c:v>56.0592628387989</c:v>
                </c:pt>
                <c:pt idx="228">
                  <c:v>55.6571276416646</c:v>
                </c:pt>
                <c:pt idx="229">
                  <c:v>55.2451689859466</c:v>
                </c:pt>
                <c:pt idx="230">
                  <c:v>54.8235617846827</c:v>
                </c:pt>
                <c:pt idx="231">
                  <c:v>54.3924911755286</c:v>
                </c:pt>
                <c:pt idx="232">
                  <c:v>53.9521524988129</c:v>
                </c:pt>
                <c:pt idx="233">
                  <c:v>53.5027512312196</c:v>
                </c:pt>
                <c:pt idx="234">
                  <c:v>53.0445028720218</c:v>
                </c:pt>
                <c:pt idx="235">
                  <c:v>52.5776327790294</c:v>
                </c:pt>
                <c:pt idx="236">
                  <c:v>52.1023759516938</c:v>
                </c:pt>
                <c:pt idx="237">
                  <c:v>51.6189767591297</c:v>
                </c:pt>
                <c:pt idx="238">
                  <c:v>51.1276886111914</c:v>
                </c:pt>
                <c:pt idx="239">
                  <c:v>50.6287735711504</c:v>
                </c:pt>
                <c:pt idx="240">
                  <c:v>50.1225019089721</c:v>
                </c:pt>
                <c:pt idx="241">
                  <c:v>49.6091515946798</c:v>
                </c:pt>
                <c:pt idx="242">
                  <c:v>49.0890077318169</c:v>
                </c:pt>
                <c:pt idx="243">
                  <c:v>48.5623619315653</c:v>
                </c:pt>
                <c:pt idx="244">
                  <c:v>48.0295116286521</c:v>
                </c:pt>
                <c:pt idx="245">
                  <c:v>47.4907593407517</c:v>
                </c:pt>
                <c:pt idx="246">
                  <c:v>46.9464118736961</c:v>
                </c:pt>
                <c:pt idx="247">
                  <c:v>46.3967794753849</c:v>
                </c:pt>
                <c:pt idx="248">
                  <c:v>45.8421749418714</c:v>
                </c:pt>
                <c:pt idx="249">
                  <c:v>45.2829126796702</c:v>
                </c:pt>
                <c:pt idx="250">
                  <c:v>44.7193077288642</c:v>
                </c:pt>
                <c:pt idx="251">
                  <c:v>44.1516747520964</c:v>
                </c:pt>
                <c:pt idx="252">
                  <c:v>43.5803269949973</c:v>
                </c:pt>
                <c:pt idx="253">
                  <c:v>43.0055752240143</c:v>
                </c:pt>
                <c:pt idx="254">
                  <c:v>42.4277266479641</c:v>
                </c:pt>
                <c:pt idx="255">
                  <c:v>41.8470838299445</c:v>
                </c:pt>
                <c:pt idx="256">
                  <c:v>41.2639435964597</c:v>
                </c:pt>
                <c:pt idx="257">
                  <c:v>40.6785959508047</c:v>
                </c:pt>
                <c:pt idx="258">
                  <c:v>40.0913229978338</c:v>
                </c:pt>
                <c:pt idx="259">
                  <c:v>39.5023978872874</c:v>
                </c:pt>
                <c:pt idx="260">
                  <c:v>38.9120837827941</c:v>
                </c:pt>
                <c:pt idx="261">
                  <c:v>38.3206328635741</c:v>
                </c:pt>
                <c:pt idx="262">
                  <c:v>37.7282853656829</c:v>
                </c:pt>
                <c:pt idx="263">
                  <c:v>37.1352686694092</c:v>
                </c:pt>
                <c:pt idx="264">
                  <c:v>36.541796439137</c:v>
                </c:pt>
                <c:pt idx="265">
                  <c:v>35.9480678216492</c:v>
                </c:pt>
                <c:pt idx="266">
                  <c:v>35.354266708441</c:v>
                </c:pt>
                <c:pt idx="267">
                  <c:v>34.760561067186</c:v>
                </c:pt>
                <c:pt idx="268">
                  <c:v>34.1671023470269</c:v>
                </c:pt>
                <c:pt idx="269">
                  <c:v>33.574024961847</c:v>
                </c:pt>
                <c:pt idx="270">
                  <c:v>32.9814458551697</c:v>
                </c:pt>
                <c:pt idx="271">
                  <c:v>32.3894641497683</c:v>
                </c:pt>
                <c:pt idx="272">
                  <c:v>31.798160884522</c:v>
                </c:pt>
                <c:pt idx="273">
                  <c:v>31.207598840461</c:v>
                </c:pt>
                <c:pt idx="274">
                  <c:v>30.6178224573844</c:v>
                </c:pt>
                <c:pt idx="275">
                  <c:v>30.0288578418292</c:v>
                </c:pt>
                <c:pt idx="276">
                  <c:v>29.4407128665933</c:v>
                </c:pt>
                <c:pt idx="277">
                  <c:v>28.8533773614284</c:v>
                </c:pt>
                <c:pt idx="278">
                  <c:v>28.2668233939259</c:v>
                </c:pt>
                <c:pt idx="279">
                  <c:v>27.681005639047</c:v>
                </c:pt>
                <c:pt idx="280">
                  <c:v>27.0958618351718</c:v>
                </c:pt>
                <c:pt idx="281">
                  <c:v>26.511313323972</c:v>
                </c:pt>
                <c:pt idx="282">
                  <c:v>25.9272656708531</c:v>
                </c:pt>
                <c:pt idx="283">
                  <c:v>25.3436093621655</c:v>
                </c:pt>
                <c:pt idx="284">
                  <c:v>24.7602205748502</c:v>
                </c:pt>
                <c:pt idx="285">
                  <c:v>24.1769620136584</c:v>
                </c:pt>
                <c:pt idx="286">
                  <c:v>23.593683810599</c:v>
                </c:pt>
                <c:pt idx="287">
                  <c:v>23.0102244807821</c:v>
                </c:pt>
                <c:pt idx="288">
                  <c:v>22.4264119283843</c:v>
                </c:pt>
                <c:pt idx="289">
                  <c:v>21.842064496053</c:v>
                </c:pt>
                <c:pt idx="290">
                  <c:v>21.2569920506985</c:v>
                </c:pt>
                <c:pt idx="291">
                  <c:v>20.6709970982942</c:v>
                </c:pt>
                <c:pt idx="292">
                  <c:v>20.0838759200405</c:v>
                </c:pt>
                <c:pt idx="293">
                  <c:v>19.495419722042</c:v>
                </c:pt>
                <c:pt idx="294">
                  <c:v>18.9054157905022</c:v>
                </c:pt>
                <c:pt idx="295">
                  <c:v>18.3136486443751</c:v>
                </c:pt>
                <c:pt idx="296">
                  <c:v>17.7199011774345</c:v>
                </c:pt>
                <c:pt idx="297">
                  <c:v>17.1239557817978</c:v>
                </c:pt>
                <c:pt idx="298">
                  <c:v>16.5255954451535</c:v>
                </c:pt>
                <c:pt idx="299">
                  <c:v>15.9246048141897</c:v>
                </c:pt>
                <c:pt idx="300">
                  <c:v>15.3207712171041</c:v>
                </c:pt>
                <c:pt idx="301">
                  <c:v>14.7138856385224</c:v>
                </c:pt>
                <c:pt idx="302">
                  <c:v>14.1037436406914</c:v>
                </c:pt>
                <c:pt idx="303">
                  <c:v>13.4901462254377</c:v>
                </c:pt>
                <c:pt idx="304">
                  <c:v>12.8729006320748</c:v>
                </c:pt>
                <c:pt idx="305">
                  <c:v>12.2518210672121</c:v>
                </c:pt>
                <c:pt idx="306">
                  <c:v>11.6267293632229</c:v>
                </c:pt>
                <c:pt idx="307">
                  <c:v>10.9974555630004</c:v>
                </c:pt>
                <c:pt idx="308">
                  <c:v>10.3638384295147</c:v>
                </c:pt>
                <c:pt idx="309">
                  <c:v>9.72572587959363</c:v>
                </c:pt>
                <c:pt idx="310">
                  <c:v>9.0829753422575</c:v>
                </c:pt>
                <c:pt idx="311">
                  <c:v>8.43545404283641</c:v>
                </c:pt>
                <c:pt idx="312">
                  <c:v>7.78303921494998</c:v>
                </c:pt>
                <c:pt idx="313">
                  <c:v>7.12561824328046</c:v>
                </c:pt>
                <c:pt idx="314">
                  <c:v>6.46308874079873</c:v>
                </c:pt>
                <c:pt idx="315">
                  <c:v>5.79535856483733</c:v>
                </c:pt>
                <c:pt idx="316">
                  <c:v>5.12234577698996</c:v>
                </c:pt>
                <c:pt idx="317">
                  <c:v>4.44397855235977</c:v>
                </c:pt>
                <c:pt idx="318">
                  <c:v>3.76019504411225</c:v>
                </c:pt>
                <c:pt idx="319">
                  <c:v>3.0709432095952</c:v>
                </c:pt>
                <c:pt idx="320">
                  <c:v>2.37618060452802</c:v>
                </c:pt>
                <c:pt idx="321">
                  <c:v>1.67587415187259</c:v>
                </c:pt>
                <c:pt idx="322">
                  <c:v>0.969999891998253</c:v>
                </c:pt>
                <c:pt idx="323">
                  <c:v>0.258542720659145</c:v>
                </c:pt>
                <c:pt idx="324">
                  <c:v>-0.45850387887823</c:v>
                </c:pt>
                <c:pt idx="325">
                  <c:v>-1.18113810353355</c:v>
                </c:pt>
                <c:pt idx="326">
                  <c:v>-1.90935009225344</c:v>
                </c:pt>
                <c:pt idx="327">
                  <c:v>-2.64312217678628</c:v>
                </c:pt>
                <c:pt idx="328">
                  <c:v>-3.38242911668043</c:v>
                </c:pt>
                <c:pt idx="329">
                  <c:v>-4.12723831437097</c:v>
                </c:pt>
                <c:pt idx="330">
                  <c:v>-4.87751000682717</c:v>
                </c:pt>
                <c:pt idx="331">
                  <c:v>-5.63319743089928</c:v>
                </c:pt>
                <c:pt idx="332">
                  <c:v>-6.39424696015355</c:v>
                </c:pt>
                <c:pt idx="333">
                  <c:v>-7.16059821168357</c:v>
                </c:pt>
                <c:pt idx="334">
                  <c:v>-7.93218412206834</c:v>
                </c:pt>
                <c:pt idx="335">
                  <c:v>-8.70893099233257</c:v>
                </c:pt>
                <c:pt idx="336">
                  <c:v>-9.49075850241074</c:v>
                </c:pt>
                <c:pt idx="337">
                  <c:v>-10.2775796962872</c:v>
                </c:pt>
                <c:pt idx="338">
                  <c:v>-11.0693009395613</c:v>
                </c:pt>
                <c:pt idx="339">
                  <c:v>-11.8658218517688</c:v>
                </c:pt>
                <c:pt idx="340">
                  <c:v>-12.6670352163162</c:v>
                </c:pt>
                <c:pt idx="341">
                  <c:v>-13.4728268713601</c:v>
                </c:pt>
                <c:pt idx="342">
                  <c:v>-14.2830755853666</c:v>
                </c:pt>
                <c:pt idx="343">
                  <c:v>-15.0976529214726</c:v>
                </c:pt>
                <c:pt idx="344">
                  <c:v>-15.9164230950522</c:v>
                </c:pt>
                <c:pt idx="345">
                  <c:v>-16.7392428291355</c:v>
                </c:pt>
                <c:pt idx="346">
                  <c:v>-17.5659612124978</c:v>
                </c:pt>
                <c:pt idx="347">
                  <c:v>-18.3964195653427</c:v>
                </c:pt>
                <c:pt idx="348">
                  <c:v>-19.2304513175336</c:v>
                </c:pt>
                <c:pt idx="349">
                  <c:v>-20.0678819043096</c:v>
                </c:pt>
                <c:pt idx="350">
                  <c:v>-20.908528684311</c:v>
                </c:pt>
                <c:pt idx="351">
                  <c:v>-21.752200884582</c:v>
                </c:pt>
                <c:pt idx="352">
                  <c:v>-22.5986995769961</c:v>
                </c:pt>
                <c:pt idx="353">
                  <c:v>-23.4478176902427</c:v>
                </c:pt>
                <c:pt idx="354">
                  <c:v>-24.299340061187</c:v>
                </c:pt>
                <c:pt idx="355">
                  <c:v>-25.1530435289834</c:v>
                </c:pt>
                <c:pt idx="356">
                  <c:v>-26.0086970748962</c:v>
                </c:pt>
                <c:pt idx="357">
                  <c:v>-26.8660620102489</c:v>
                </c:pt>
                <c:pt idx="358">
                  <c:v>-27.7248922144094</c:v>
                </c:pt>
                <c:pt idx="359">
                  <c:v>-28.5849344241196</c:v>
                </c:pt>
                <c:pt idx="360">
                  <c:v>-29.445928574892</c:v>
                </c:pt>
                <c:pt idx="361">
                  <c:v>-30.3076081945637</c:v>
                </c:pt>
                <c:pt idx="362">
                  <c:v>-31.169700848478</c:v>
                </c:pt>
                <c:pt idx="363">
                  <c:v>-32.0319286351169</c:v>
                </c:pt>
                <c:pt idx="364">
                  <c:v>-32.8940087304</c:v>
                </c:pt>
                <c:pt idx="365">
                  <c:v>-33.7556539782409</c:v>
                </c:pt>
                <c:pt idx="366">
                  <c:v>-34.6165735243787</c:v>
                </c:pt>
                <c:pt idx="367">
                  <c:v>-35.4764734899516</c:v>
                </c:pt>
                <c:pt idx="368">
                  <c:v>-36.3350576807726</c:v>
                </c:pt>
                <c:pt idx="369">
                  <c:v>-37.1920283278137</c:v>
                </c:pt>
                <c:pt idx="370">
                  <c:v>-38.0470868540071</c:v>
                </c:pt>
                <c:pt idx="371">
                  <c:v>-38.899934662144</c:v>
                </c:pt>
                <c:pt idx="372">
                  <c:v>-39.7502739383777</c:v>
                </c:pt>
                <c:pt idx="373">
                  <c:v>-40.5978084656574</c:v>
                </c:pt>
                <c:pt idx="374">
                  <c:v>-41.4422444412955</c:v>
                </c:pt>
                <c:pt idx="375">
                  <c:v>-42.2832912928375</c:v>
                </c:pt>
                <c:pt idx="376">
                  <c:v>-43.1206624864297</c:v>
                </c:pt>
                <c:pt idx="377">
                  <c:v>-43.9540763220086</c:v>
                </c:pt>
                <c:pt idx="378">
                  <c:v>-44.7832567097974</c:v>
                </c:pt>
                <c:pt idx="379">
                  <c:v>-45.6079339228592</c:v>
                </c:pt>
                <c:pt idx="380">
                  <c:v>-46.4278453207584</c:v>
                </c:pt>
                <c:pt idx="381">
                  <c:v>-47.2427360397497</c:v>
                </c:pt>
                <c:pt idx="382">
                  <c:v>-48.0523596453292</c:v>
                </c:pt>
                <c:pt idx="383">
                  <c:v>-48.8564787434303</c:v>
                </c:pt>
                <c:pt idx="384">
                  <c:v>-49.6548655470337</c:v>
                </c:pt>
                <c:pt idx="385">
                  <c:v>-50.447302395469</c:v>
                </c:pt>
                <c:pt idx="386">
                  <c:v>-51.2335822241997</c:v>
                </c:pt>
                <c:pt idx="387">
                  <c:v>-52.0135089834221</c:v>
                </c:pt>
                <c:pt idx="388">
                  <c:v>-52.7868980043167</c:v>
                </c:pt>
                <c:pt idx="389">
                  <c:v>-53.5535763123202</c:v>
                </c:pt>
                <c:pt idx="390">
                  <c:v>-54.3133828872669</c:v>
                </c:pt>
                <c:pt idx="391">
                  <c:v>-55.066168870739</c:v>
                </c:pt>
                <c:pt idx="392">
                  <c:v>-55.8117977213903</c:v>
                </c:pt>
                <c:pt idx="393">
                  <c:v>-56.5501453194335</c:v>
                </c:pt>
                <c:pt idx="394">
                  <c:v>-57.281100021844</c:v>
                </c:pt>
                <c:pt idx="395">
                  <c:v>-58.0045626701744</c:v>
                </c:pt>
                <c:pt idx="396">
                  <c:v>-58.720446553156</c:v>
                </c:pt>
                <c:pt idx="397">
                  <c:v>-59.4286773265205</c:v>
                </c:pt>
                <c:pt idx="398">
                  <c:v>-60.129192892675</c:v>
                </c:pt>
                <c:pt idx="399">
                  <c:v>-60.8219432430271</c:v>
                </c:pt>
                <c:pt idx="400">
                  <c:v>-61.5068902658827</c:v>
                </c:pt>
                <c:pt idx="401">
                  <c:v>-62.184007522914</c:v>
                </c:pt>
                <c:pt idx="402">
                  <c:v>-62.8532799972438</c:v>
                </c:pt>
                <c:pt idx="403">
                  <c:v>-63.5147038162105</c:v>
                </c:pt>
                <c:pt idx="404">
                  <c:v>-64.1682859518405</c:v>
                </c:pt>
                <c:pt idx="405">
                  <c:v>-64.8140439020182</c:v>
                </c:pt>
                <c:pt idx="406">
                  <c:v>-65.4520053552692</c:v>
                </c:pt>
                <c:pt idx="407">
                  <c:v>-66.0822078419613</c:v>
                </c:pt>
                <c:pt idx="408">
                  <c:v>-66.7046983746366</c:v>
                </c:pt>
                <c:pt idx="409">
                  <c:v>-67.3195330800308</c:v>
                </c:pt>
                <c:pt idx="410">
                  <c:v>-67.926776825214</c:v>
                </c:pt>
                <c:pt idx="411">
                  <c:v>-68.5265028401241</c:v>
                </c:pt>
                <c:pt idx="412">
                  <c:v>-69.1187923386045</c:v>
                </c:pt>
                <c:pt idx="413">
                  <c:v>-69.7037341399012</c:v>
                </c:pt>
                <c:pt idx="414">
                  <c:v>-70.2814242924008</c:v>
                </c:pt>
                <c:pt idx="415">
                  <c:v>-70.8519657012334</c:v>
                </c:pt>
                <c:pt idx="416">
                  <c:v>-71.4154677611935</c:v>
                </c:pt>
                <c:pt idx="417">
                  <c:v>-71.9720459962791</c:v>
                </c:pt>
                <c:pt idx="418">
                  <c:v>-72.5218217069878</c:v>
                </c:pt>
                <c:pt idx="419">
                  <c:v>-73.0649216263627</c:v>
                </c:pt>
                <c:pt idx="420">
                  <c:v>-73.6014775856367</c:v>
                </c:pt>
                <c:pt idx="421">
                  <c:v>-74.1316261901897</c:v>
                </c:pt>
                <c:pt idx="422">
                  <c:v>-74.6555085064004</c:v>
                </c:pt>
                <c:pt idx="423">
                  <c:v>-75.1732697598618</c:v>
                </c:pt>
                <c:pt idx="424">
                  <c:v>-75.6850590453118</c:v>
                </c:pt>
                <c:pt idx="425">
                  <c:v>-76.19102904853</c:v>
                </c:pt>
                <c:pt idx="426">
                  <c:v>-76.6913357803561</c:v>
                </c:pt>
                <c:pt idx="427">
                  <c:v>-77.1861383228994</c:v>
                </c:pt>
                <c:pt idx="428">
                  <c:v>-77.6755985879275</c:v>
                </c:pt>
                <c:pt idx="429">
                  <c:v>-78.1598810873563</c:v>
                </c:pt>
                <c:pt idx="430">
                  <c:v>-78.6391527156908</c:v>
                </c:pt>
                <c:pt idx="431">
                  <c:v>-79.1135825442184</c:v>
                </c:pt>
                <c:pt idx="432">
                  <c:v>-79.5833416267014</c:v>
                </c:pt>
                <c:pt idx="433">
                  <c:v>-80.0486028162681</c:v>
                </c:pt>
                <c:pt idx="434">
                  <c:v>-80.5095405931687</c:v>
                </c:pt>
                <c:pt idx="435">
                  <c:v>-80.9663309030271</c:v>
                </c:pt>
                <c:pt idx="436">
                  <c:v>-81.4191510051831</c:v>
                </c:pt>
                <c:pt idx="437">
                  <c:v>-81.8681793307115</c:v>
                </c:pt>
                <c:pt idx="438">
                  <c:v>-82.3135953496632</c:v>
                </c:pt>
                <c:pt idx="439">
                  <c:v>-82.7555794470745</c:v>
                </c:pt>
                <c:pt idx="440">
                  <c:v>-83.1943128072634</c:v>
                </c:pt>
                <c:pt idx="441">
                  <c:v>-83.6299773059304</c:v>
                </c:pt>
                <c:pt idx="442">
                  <c:v>-84.0627554095625</c:v>
                </c:pt>
                <c:pt idx="443">
                  <c:v>-84.492830081643</c:v>
                </c:pt>
                <c:pt idx="444">
                  <c:v>-84.920384695152</c:v>
                </c:pt>
                <c:pt idx="445">
                  <c:v>-85.3456029508521</c:v>
                </c:pt>
                <c:pt idx="446">
                  <c:v>-85.7686688008407</c:v>
                </c:pt>
                <c:pt idx="447">
                  <c:v>-86.1897663768536</c:v>
                </c:pt>
                <c:pt idx="448">
                  <c:v>-86.6090799228033</c:v>
                </c:pt>
                <c:pt idx="449">
                  <c:v>-87.0267937310358</c:v>
                </c:pt>
                <c:pt idx="450">
                  <c:v>-87.443092081788</c:v>
                </c:pt>
                <c:pt idx="451">
                  <c:v>-87.8581591853301</c:v>
                </c:pt>
                <c:pt idx="452">
                  <c:v>-88.2721791262777</c:v>
                </c:pt>
                <c:pt idx="453">
                  <c:v>-88.6853358095591</c:v>
                </c:pt>
                <c:pt idx="454">
                  <c:v>-89.0978129075241</c:v>
                </c:pt>
                <c:pt idx="455">
                  <c:v>-89.5097938076792</c:v>
                </c:pt>
                <c:pt idx="456">
                  <c:v>-89.9214615605401</c:v>
                </c:pt>
                <c:pt idx="457">
                  <c:v>-90.3329988270854</c:v>
                </c:pt>
                <c:pt idx="458">
                  <c:v>-90.7445878253017</c:v>
                </c:pt>
                <c:pt idx="459">
                  <c:v>-91.1564102753062</c:v>
                </c:pt>
                <c:pt idx="460">
                  <c:v>-91.5686473425362</c:v>
                </c:pt>
                <c:pt idx="461">
                  <c:v>-91.9814795784914</c:v>
                </c:pt>
                <c:pt idx="462">
                  <c:v>-92.3950868585164</c:v>
                </c:pt>
                <c:pt idx="463">
                  <c:v>-92.8096483161124</c:v>
                </c:pt>
                <c:pt idx="464">
                  <c:v>-93.2253422732621</c:v>
                </c:pt>
                <c:pt idx="465">
                  <c:v>-93.6423461662572</c:v>
                </c:pt>
                <c:pt idx="466">
                  <c:v>-94.0608364665187</c:v>
                </c:pt>
                <c:pt idx="467">
                  <c:v>-94.4809885958946</c:v>
                </c:pt>
                <c:pt idx="468">
                  <c:v>-94.9029768359345</c:v>
                </c:pt>
                <c:pt idx="469">
                  <c:v>-95.3269742306297</c:v>
                </c:pt>
                <c:pt idx="470">
                  <c:v>-95.7531524821245</c:v>
                </c:pt>
                <c:pt idx="471">
                  <c:v>-96.1816818389036</c:v>
                </c:pt>
                <c:pt idx="472">
                  <c:v>-96.6127309759689</c:v>
                </c:pt>
                <c:pt idx="473">
                  <c:v>-97.0464668665347</c:v>
                </c:pt>
                <c:pt idx="474">
                  <c:v>-97.4830546447756</c:v>
                </c:pt>
                <c:pt idx="475">
                  <c:v>-97.9226574591831</c:v>
                </c:pt>
                <c:pt idx="476">
                  <c:v>-98.3654363161032</c:v>
                </c:pt>
                <c:pt idx="477">
                  <c:v>-98.8115499130503</c:v>
                </c:pt>
                <c:pt idx="478">
                  <c:v>-99.2611544614172</c:v>
                </c:pt>
                <c:pt idx="479">
                  <c:v>-99.7144034982387</c:v>
                </c:pt>
                <c:pt idx="480">
                  <c:v>-100.171447686692</c:v>
                </c:pt>
                <c:pt idx="481">
                  <c:v>-100.63243460507</c:v>
                </c:pt>
                <c:pt idx="482">
                  <c:v>-101.097508523998</c:v>
                </c:pt>
                <c:pt idx="483">
                  <c:v>-101.566810171729</c:v>
                </c:pt>
                <c:pt idx="484">
                  <c:v>-102.040476487415</c:v>
                </c:pt>
                <c:pt idx="485">
                  <c:v>-102.518640362287</c:v>
                </c:pt>
                <c:pt idx="486">
                  <c:v>-103.001430368816</c:v>
                </c:pt>
                <c:pt idx="487">
                  <c:v>-103.488970477927</c:v>
                </c:pt>
                <c:pt idx="488">
                  <c:v>-103.981379764506</c:v>
                </c:pt>
                <c:pt idx="489">
                  <c:v>-104.478772101478</c:v>
                </c:pt>
                <c:pt idx="490">
                  <c:v>-104.981255842889</c:v>
                </c:pt>
                <c:pt idx="491">
                  <c:v>-105.488933496498</c:v>
                </c:pt>
                <c:pt idx="492">
                  <c:v>-106.001901386544</c:v>
                </c:pt>
                <c:pt idx="493">
                  <c:v>-106.520249307466</c:v>
                </c:pt>
                <c:pt idx="494">
                  <c:v>-107.0440601695</c:v>
                </c:pt>
                <c:pt idx="495">
                  <c:v>-107.573409637215</c:v>
                </c:pt>
                <c:pt idx="496">
                  <c:v>-108.108365762227</c:v>
                </c:pt>
                <c:pt idx="497">
                  <c:v>-108.648988611465</c:v>
                </c:pt>
                <c:pt idx="498">
                  <c:v>-109.195329892532</c:v>
                </c:pt>
                <c:pt idx="499">
                  <c:v>-109.747432577892</c:v>
                </c:pt>
                <c:pt idx="500">
                  <c:v>-110.305330529752</c:v>
                </c:pt>
                <c:pt idx="501">
                  <c:v>-110.869048127699</c:v>
                </c:pt>
                <c:pt idx="502">
                  <c:v>-111.438599901321</c:v>
                </c:pt>
                <c:pt idx="503">
                  <c:v>-112.013990170178</c:v>
                </c:pt>
                <c:pt idx="504">
                  <c:v>-112.59521269367</c:v>
                </c:pt>
                <c:pt idx="505">
                  <c:v>-113.182250333493</c:v>
                </c:pt>
                <c:pt idx="506">
                  <c:v>-113.775074731483</c:v>
                </c:pt>
                <c:pt idx="507">
                  <c:v>-114.373646005793</c:v>
                </c:pt>
                <c:pt idx="508">
                  <c:v>-114.977912468428</c:v>
                </c:pt>
                <c:pt idx="509">
                  <c:v>-115.587810367247</c:v>
                </c:pt>
                <c:pt idx="510">
                  <c:v>-116.20326365558</c:v>
                </c:pt>
                <c:pt idx="511">
                  <c:v>-116.824183792642</c:v>
                </c:pt>
                <c:pt idx="512">
                  <c:v>-117.450469577904</c:v>
                </c:pt>
                <c:pt idx="513">
                  <c:v>-118.082007022532</c:v>
                </c:pt>
                <c:pt idx="514">
                  <c:v>-118.718669260931</c:v>
                </c:pt>
                <c:pt idx="515">
                  <c:v>-119.360316505295</c:v>
                </c:pt>
                <c:pt idx="516">
                  <c:v>-120.006796045906</c:v>
                </c:pt>
                <c:pt idx="517">
                  <c:v>-120.657942299703</c:v>
                </c:pt>
                <c:pt idx="518">
                  <c:v>-121.313576909408</c:v>
                </c:pt>
                <c:pt idx="519">
                  <c:v>-121.973508895179</c:v>
                </c:pt>
                <c:pt idx="520">
                  <c:v>-122.637534860432</c:v>
                </c:pt>
                <c:pt idx="521">
                  <c:v>-123.305439253106</c:v>
                </c:pt>
                <c:pt idx="522">
                  <c:v>-123.976994683194</c:v>
                </c:pt>
                <c:pt idx="523">
                  <c:v>-124.651962296967</c:v>
                </c:pt>
                <c:pt idx="524">
                  <c:v>-125.330092207774</c:v>
                </c:pt>
                <c:pt idx="525">
                  <c:v>-126.011123982861</c:v>
                </c:pt>
                <c:pt idx="526">
                  <c:v>-126.694787185088</c:v>
                </c:pt>
                <c:pt idx="527">
                  <c:v>-127.380801967906</c:v>
                </c:pt>
                <c:pt idx="528">
                  <c:v>-128.068879721436</c:v>
                </c:pt>
                <c:pt idx="529">
                  <c:v>-128.758723766935</c:v>
                </c:pt>
                <c:pt idx="530">
                  <c:v>-129.450030096449</c:v>
                </c:pt>
                <c:pt idx="531">
                  <c:v>-130.142488153943</c:v>
                </c:pt>
                <c:pt idx="532">
                  <c:v>-130.835781653734</c:v>
                </c:pt>
                <c:pt idx="533">
                  <c:v>-131.52958943164</c:v>
                </c:pt>
                <c:pt idx="534">
                  <c:v>-132.223586323871</c:v>
                </c:pt>
                <c:pt idx="535">
                  <c:v>-132.917444068366</c:v>
                </c:pt>
                <c:pt idx="536">
                  <c:v>-133.610832223004</c:v>
                </c:pt>
                <c:pt idx="537">
                  <c:v>-134.303419094944</c:v>
                </c:pt>
                <c:pt idx="538">
                  <c:v>-134.994872675161</c:v>
                </c:pt>
                <c:pt idx="539">
                  <c:v>-135.684861572239</c:v>
                </c:pt>
                <c:pt idx="540">
                  <c:v>-136.373055939445</c:v>
                </c:pt>
                <c:pt idx="541">
                  <c:v>-137.059128389208</c:v>
                </c:pt>
              </c:numCache>
            </c:numRef>
          </c:yVal>
          <c:smooth val="1"/>
        </c:ser>
        <c:dLbls>
          <c:showLegendKey val="0"/>
          <c:showVal val="0"/>
          <c:showCatName val="0"/>
          <c:showSerName val="0"/>
          <c:showPercent val="0"/>
          <c:showBubbleSize val="0"/>
        </c:dLbls>
        <c:axId val="178971776"/>
        <c:axId val="178961792"/>
      </c:scatterChart>
      <c:valAx>
        <c:axId val="178953600"/>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959872"/>
        <c:crosses val="autoZero"/>
        <c:crossBetween val="midCat"/>
      </c:valAx>
      <c:valAx>
        <c:axId val="178959872"/>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solidFill>
                      <a:srgbClr val="FF0000"/>
                    </a:solidFill>
                  </a:rPr>
                  <a:t>Gain</a:t>
                </a:r>
                <a:r>
                  <a:rPr lang="en-US" baseline="0">
                    <a:solidFill>
                      <a:srgbClr val="FF0000"/>
                    </a:solidFill>
                  </a:rPr>
                  <a:t> (dB)</a:t>
                </a:r>
                <a:endParaRPr lang="en-US">
                  <a:solidFill>
                    <a:srgbClr val="FF0000"/>
                  </a:solidFill>
                </a:endParaRPr>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rgbClr val="FF0000"/>
                </a:solidFill>
                <a:latin typeface="+mn-lt"/>
                <a:ea typeface="+mn-ea"/>
                <a:cs typeface="+mn-cs"/>
              </a:defRPr>
            </a:pPr>
          </a:p>
        </c:txPr>
        <c:crossAx val="178953600"/>
        <c:crosses val="autoZero"/>
        <c:crossBetween val="midCat"/>
        <c:majorUnit val="20"/>
        <c:minorUnit val="10"/>
      </c:valAx>
      <c:valAx>
        <c:axId val="178971776"/>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961792"/>
        <c:crosses val="autoZero"/>
        <c:crossBetween val="midCat"/>
      </c:valAx>
      <c:valAx>
        <c:axId val="178961792"/>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lumMod val="95000"/>
                    <a:lumOff val="5000"/>
                  </a:schemeClr>
                </a:solidFill>
                <a:latin typeface="+mn-lt"/>
                <a:ea typeface="+mn-ea"/>
                <a:cs typeface="+mn-cs"/>
              </a:defRPr>
            </a:pPr>
          </a:p>
        </c:txPr>
        <c:crossAx val="178971776"/>
        <c:crosses val="max"/>
        <c:crossBetween val="midCat"/>
        <c:majorUnit val="90"/>
        <c:minorUnit val="45"/>
      </c:valAx>
    </c:plotArea>
    <c:plotVisOnly val="1"/>
    <c:dispBlanksAs val="gap"/>
    <c:showDLblsOverMax val="0"/>
    <c:extLst>
      <c:ext uri="{0b15fc19-7d7d-44ad-8c2d-2c3a37ce22c3}">
        <chartProps xmlns="https://web.wps.cn/et/2018/main" chartId="{d8376ad8-9511-453a-95bc-415188ceb85e}"/>
      </c:ext>
    </c:extLst>
  </c:chart>
  <c:txPr>
    <a:bodyPr/>
    <a:lstStyle/>
    <a:p>
      <a:pPr>
        <a:defRPr lang="pl-PL"/>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lgn="l">
              <a:defRPr lang="pl-PL" sz="2400" b="1" i="0" u="none" strike="noStrike" kern="1200" baseline="0">
                <a:solidFill>
                  <a:schemeClr val="tx1"/>
                </a:solidFill>
                <a:latin typeface="+mn-lt"/>
                <a:ea typeface="+mn-ea"/>
                <a:cs typeface="+mn-cs"/>
              </a:defRPr>
            </a:pPr>
            <a:r>
              <a:rPr lang="el-GR" sz="2400"/>
              <a:t>η</a:t>
            </a:r>
            <a:endParaRPr lang="en-US" sz="2400"/>
          </a:p>
        </c:rich>
      </c:tx>
      <c:layout>
        <c:manualLayout>
          <c:xMode val="edge"/>
          <c:yMode val="edge"/>
          <c:x val="0.0923218382951588"/>
          <c:y val="0.00670690811535882"/>
        </c:manualLayout>
      </c:layout>
      <c:overlay val="1"/>
    </c:title>
    <c:autoTitleDeleted val="0"/>
    <c:plotArea>
      <c:layout>
        <c:manualLayout>
          <c:layoutTarget val="inner"/>
          <c:xMode val="edge"/>
          <c:yMode val="edge"/>
          <c:x val="0.0943435758165804"/>
          <c:y val="0.127775049245605"/>
          <c:w val="0.821706919227287"/>
          <c:h val="0.749827708676531"/>
        </c:manualLayout>
      </c:layout>
      <c:scatterChart>
        <c:scatterStyle val="smooth"/>
        <c:varyColors val="0"/>
        <c:ser>
          <c:idx val="0"/>
          <c:order val="0"/>
          <c:tx>
            <c:strRef>
              <c:f>"Eff"</c:f>
              <c:strCache>
                <c:ptCount val="1"/>
                <c:pt idx="0">
                  <c:v>Eff</c:v>
                </c:pt>
              </c:strCache>
            </c:strRef>
          </c:tx>
          <c:spPr>
            <a:ln w="28575" cap="rnd" cmpd="sng" algn="ctr">
              <a:solidFill>
                <a:srgbClr val="FF0000"/>
              </a:solidFill>
              <a:prstDash val="solid"/>
              <a:round/>
            </a:ln>
          </c:spPr>
          <c:marker>
            <c:symbol val="none"/>
          </c:marker>
          <c:dLbls>
            <c:delete val="1"/>
          </c:dLbls>
          <c:xVal>
            <c:numRef>
              <c:f>Eff_vs_IOUT!$S$7:$S$157</c:f>
              <c:numCache>
                <c:formatCode>General</c:formatCode>
                <c:ptCount val="151"/>
                <c:pt idx="0">
                  <c:v>0</c:v>
                </c:pt>
                <c:pt idx="1">
                  <c:v>0.02</c:v>
                </c:pt>
                <c:pt idx="2">
                  <c:v>0.04</c:v>
                </c:pt>
                <c:pt idx="3">
                  <c:v>0.06</c:v>
                </c:pt>
                <c:pt idx="4">
                  <c:v>0.08</c:v>
                </c:pt>
                <c:pt idx="5">
                  <c:v>0.1</c:v>
                </c:pt>
                <c:pt idx="6">
                  <c:v>0.12</c:v>
                </c:pt>
                <c:pt idx="7">
                  <c:v>0.14</c:v>
                </c:pt>
                <c:pt idx="8">
                  <c:v>0.16</c:v>
                </c:pt>
                <c:pt idx="9">
                  <c:v>0.18</c:v>
                </c:pt>
                <c:pt idx="10">
                  <c:v>0.2</c:v>
                </c:pt>
                <c:pt idx="11">
                  <c:v>0.22</c:v>
                </c:pt>
                <c:pt idx="12">
                  <c:v>0.24</c:v>
                </c:pt>
                <c:pt idx="13">
                  <c:v>0.26</c:v>
                </c:pt>
                <c:pt idx="14">
                  <c:v>0.28</c:v>
                </c:pt>
                <c:pt idx="15">
                  <c:v>0.3</c:v>
                </c:pt>
                <c:pt idx="16">
                  <c:v>0.32</c:v>
                </c:pt>
                <c:pt idx="17">
                  <c:v>0.34</c:v>
                </c:pt>
                <c:pt idx="18">
                  <c:v>0.36</c:v>
                </c:pt>
                <c:pt idx="19">
                  <c:v>0.38</c:v>
                </c:pt>
                <c:pt idx="20">
                  <c:v>0.4</c:v>
                </c:pt>
                <c:pt idx="21">
                  <c:v>0.42</c:v>
                </c:pt>
                <c:pt idx="22">
                  <c:v>0.44</c:v>
                </c:pt>
                <c:pt idx="23">
                  <c:v>0.46</c:v>
                </c:pt>
                <c:pt idx="24">
                  <c:v>0.48</c:v>
                </c:pt>
                <c:pt idx="25">
                  <c:v>0.5</c:v>
                </c:pt>
                <c:pt idx="26">
                  <c:v>0.52</c:v>
                </c:pt>
                <c:pt idx="27">
                  <c:v>0.54</c:v>
                </c:pt>
                <c:pt idx="28">
                  <c:v>0.56</c:v>
                </c:pt>
                <c:pt idx="29">
                  <c:v>0.58</c:v>
                </c:pt>
                <c:pt idx="30">
                  <c:v>0.6</c:v>
                </c:pt>
                <c:pt idx="31">
                  <c:v>0.62</c:v>
                </c:pt>
                <c:pt idx="32">
                  <c:v>0.64</c:v>
                </c:pt>
                <c:pt idx="33">
                  <c:v>0.66</c:v>
                </c:pt>
                <c:pt idx="34">
                  <c:v>0.68</c:v>
                </c:pt>
                <c:pt idx="35">
                  <c:v>0.7</c:v>
                </c:pt>
                <c:pt idx="36">
                  <c:v>0.72</c:v>
                </c:pt>
                <c:pt idx="37">
                  <c:v>0.74</c:v>
                </c:pt>
                <c:pt idx="38">
                  <c:v>0.76</c:v>
                </c:pt>
                <c:pt idx="39">
                  <c:v>0.78</c:v>
                </c:pt>
                <c:pt idx="40">
                  <c:v>0.8</c:v>
                </c:pt>
                <c:pt idx="41">
                  <c:v>0.82</c:v>
                </c:pt>
                <c:pt idx="42">
                  <c:v>0.84</c:v>
                </c:pt>
                <c:pt idx="43">
                  <c:v>0.86</c:v>
                </c:pt>
                <c:pt idx="44">
                  <c:v>0.88</c:v>
                </c:pt>
                <c:pt idx="45">
                  <c:v>0.9</c:v>
                </c:pt>
                <c:pt idx="46">
                  <c:v>0.92</c:v>
                </c:pt>
                <c:pt idx="47">
                  <c:v>0.94</c:v>
                </c:pt>
                <c:pt idx="48">
                  <c:v>0.96</c:v>
                </c:pt>
                <c:pt idx="49">
                  <c:v>0.98</c:v>
                </c:pt>
                <c:pt idx="50">
                  <c:v>1</c:v>
                </c:pt>
                <c:pt idx="51">
                  <c:v>1.02</c:v>
                </c:pt>
                <c:pt idx="52">
                  <c:v>1.04</c:v>
                </c:pt>
                <c:pt idx="53">
                  <c:v>1.06</c:v>
                </c:pt>
                <c:pt idx="54">
                  <c:v>1.08</c:v>
                </c:pt>
                <c:pt idx="55">
                  <c:v>1.1</c:v>
                </c:pt>
                <c:pt idx="56">
                  <c:v>1.12</c:v>
                </c:pt>
                <c:pt idx="57">
                  <c:v>1.14</c:v>
                </c:pt>
                <c:pt idx="58">
                  <c:v>1.16</c:v>
                </c:pt>
                <c:pt idx="59">
                  <c:v>1.18</c:v>
                </c:pt>
                <c:pt idx="60">
                  <c:v>1.2</c:v>
                </c:pt>
                <c:pt idx="61">
                  <c:v>1.22</c:v>
                </c:pt>
                <c:pt idx="62">
                  <c:v>1.24</c:v>
                </c:pt>
                <c:pt idx="63">
                  <c:v>1.26</c:v>
                </c:pt>
                <c:pt idx="64">
                  <c:v>1.28</c:v>
                </c:pt>
                <c:pt idx="65">
                  <c:v>1.3</c:v>
                </c:pt>
                <c:pt idx="66">
                  <c:v>1.32</c:v>
                </c:pt>
                <c:pt idx="67">
                  <c:v>1.34</c:v>
                </c:pt>
                <c:pt idx="68">
                  <c:v>1.36</c:v>
                </c:pt>
                <c:pt idx="69">
                  <c:v>1.38</c:v>
                </c:pt>
                <c:pt idx="70">
                  <c:v>1.4</c:v>
                </c:pt>
                <c:pt idx="71">
                  <c:v>1.42</c:v>
                </c:pt>
                <c:pt idx="72">
                  <c:v>1.44</c:v>
                </c:pt>
                <c:pt idx="73">
                  <c:v>1.46</c:v>
                </c:pt>
                <c:pt idx="74">
                  <c:v>1.48</c:v>
                </c:pt>
                <c:pt idx="75">
                  <c:v>1.5</c:v>
                </c:pt>
                <c:pt idx="76">
                  <c:v>1.52</c:v>
                </c:pt>
                <c:pt idx="77">
                  <c:v>1.54</c:v>
                </c:pt>
                <c:pt idx="78">
                  <c:v>1.56</c:v>
                </c:pt>
                <c:pt idx="79">
                  <c:v>1.58</c:v>
                </c:pt>
                <c:pt idx="80">
                  <c:v>1.6</c:v>
                </c:pt>
                <c:pt idx="81">
                  <c:v>1.62</c:v>
                </c:pt>
                <c:pt idx="82">
                  <c:v>1.64</c:v>
                </c:pt>
                <c:pt idx="83">
                  <c:v>1.66</c:v>
                </c:pt>
                <c:pt idx="84">
                  <c:v>1.68</c:v>
                </c:pt>
                <c:pt idx="85">
                  <c:v>1.7</c:v>
                </c:pt>
                <c:pt idx="86">
                  <c:v>1.72</c:v>
                </c:pt>
                <c:pt idx="87">
                  <c:v>1.74</c:v>
                </c:pt>
                <c:pt idx="88">
                  <c:v>1.76</c:v>
                </c:pt>
                <c:pt idx="89">
                  <c:v>1.78</c:v>
                </c:pt>
                <c:pt idx="90">
                  <c:v>1.8</c:v>
                </c:pt>
                <c:pt idx="91">
                  <c:v>1.82</c:v>
                </c:pt>
                <c:pt idx="92">
                  <c:v>1.84</c:v>
                </c:pt>
                <c:pt idx="93">
                  <c:v>1.86</c:v>
                </c:pt>
                <c:pt idx="94">
                  <c:v>1.88</c:v>
                </c:pt>
                <c:pt idx="95">
                  <c:v>1.9</c:v>
                </c:pt>
                <c:pt idx="96">
                  <c:v>1.92</c:v>
                </c:pt>
                <c:pt idx="97">
                  <c:v>1.94</c:v>
                </c:pt>
                <c:pt idx="98">
                  <c:v>1.96</c:v>
                </c:pt>
                <c:pt idx="99">
                  <c:v>1.98</c:v>
                </c:pt>
                <c:pt idx="100">
                  <c:v>2</c:v>
                </c:pt>
                <c:pt idx="101">
                  <c:v>2.02</c:v>
                </c:pt>
                <c:pt idx="102">
                  <c:v>2.04</c:v>
                </c:pt>
                <c:pt idx="103">
                  <c:v>2.06</c:v>
                </c:pt>
                <c:pt idx="104">
                  <c:v>2.08</c:v>
                </c:pt>
                <c:pt idx="105">
                  <c:v>2.1</c:v>
                </c:pt>
                <c:pt idx="106">
                  <c:v>2.12</c:v>
                </c:pt>
                <c:pt idx="107">
                  <c:v>2.14</c:v>
                </c:pt>
                <c:pt idx="108">
                  <c:v>2.16</c:v>
                </c:pt>
                <c:pt idx="109">
                  <c:v>2.18</c:v>
                </c:pt>
                <c:pt idx="110">
                  <c:v>2.2</c:v>
                </c:pt>
                <c:pt idx="111">
                  <c:v>2.22</c:v>
                </c:pt>
                <c:pt idx="112">
                  <c:v>2.24</c:v>
                </c:pt>
                <c:pt idx="113">
                  <c:v>2.26</c:v>
                </c:pt>
                <c:pt idx="114">
                  <c:v>2.28</c:v>
                </c:pt>
                <c:pt idx="115">
                  <c:v>2.3</c:v>
                </c:pt>
                <c:pt idx="116">
                  <c:v>2.32</c:v>
                </c:pt>
                <c:pt idx="117">
                  <c:v>2.34</c:v>
                </c:pt>
                <c:pt idx="118">
                  <c:v>2.36</c:v>
                </c:pt>
                <c:pt idx="119">
                  <c:v>2.38</c:v>
                </c:pt>
                <c:pt idx="120">
                  <c:v>2.4</c:v>
                </c:pt>
                <c:pt idx="121">
                  <c:v>2.42</c:v>
                </c:pt>
                <c:pt idx="122">
                  <c:v>2.44</c:v>
                </c:pt>
                <c:pt idx="123">
                  <c:v>2.46</c:v>
                </c:pt>
                <c:pt idx="124">
                  <c:v>2.48</c:v>
                </c:pt>
                <c:pt idx="125">
                  <c:v>2.5</c:v>
                </c:pt>
                <c:pt idx="126">
                  <c:v>2.52</c:v>
                </c:pt>
                <c:pt idx="127">
                  <c:v>2.54</c:v>
                </c:pt>
                <c:pt idx="128">
                  <c:v>2.56</c:v>
                </c:pt>
                <c:pt idx="129">
                  <c:v>2.58</c:v>
                </c:pt>
                <c:pt idx="130">
                  <c:v>2.6</c:v>
                </c:pt>
                <c:pt idx="131">
                  <c:v>2.62</c:v>
                </c:pt>
                <c:pt idx="132">
                  <c:v>2.64</c:v>
                </c:pt>
                <c:pt idx="133">
                  <c:v>2.66</c:v>
                </c:pt>
                <c:pt idx="134">
                  <c:v>2.68</c:v>
                </c:pt>
                <c:pt idx="135">
                  <c:v>2.7</c:v>
                </c:pt>
                <c:pt idx="136">
                  <c:v>2.72</c:v>
                </c:pt>
                <c:pt idx="137">
                  <c:v>2.74</c:v>
                </c:pt>
                <c:pt idx="138">
                  <c:v>2.76</c:v>
                </c:pt>
                <c:pt idx="139">
                  <c:v>2.78</c:v>
                </c:pt>
                <c:pt idx="140">
                  <c:v>2.8</c:v>
                </c:pt>
                <c:pt idx="141">
                  <c:v>2.82</c:v>
                </c:pt>
                <c:pt idx="142">
                  <c:v>2.84</c:v>
                </c:pt>
                <c:pt idx="143">
                  <c:v>2.86</c:v>
                </c:pt>
                <c:pt idx="144">
                  <c:v>2.88</c:v>
                </c:pt>
                <c:pt idx="145">
                  <c:v>2.9</c:v>
                </c:pt>
                <c:pt idx="146">
                  <c:v>2.92</c:v>
                </c:pt>
                <c:pt idx="147">
                  <c:v>2.94</c:v>
                </c:pt>
                <c:pt idx="148">
                  <c:v>2.96</c:v>
                </c:pt>
                <c:pt idx="149">
                  <c:v>2.98</c:v>
                </c:pt>
                <c:pt idx="150">
                  <c:v>3</c:v>
                </c:pt>
              </c:numCache>
            </c:numRef>
          </c:xVal>
          <c:yVal>
            <c:numRef>
              <c:f>Eff_vs_IOUT!$AT$7:$AT$157</c:f>
              <c:numCache>
                <c:formatCode>General</c:formatCode>
                <c:ptCount val="151"/>
                <c:pt idx="0">
                  <c:v>0</c:v>
                </c:pt>
                <c:pt idx="1">
                  <c:v>78.0486469636518</c:v>
                </c:pt>
                <c:pt idx="2">
                  <c:v>85.5298920032623</c:v>
                </c:pt>
                <c:pt idx="3">
                  <c:v>88.3003204952773</c:v>
                </c:pt>
                <c:pt idx="4">
                  <c:v>89.7353210406825</c:v>
                </c:pt>
                <c:pt idx="5">
                  <c:v>90.6037404377404</c:v>
                </c:pt>
                <c:pt idx="6">
                  <c:v>91.179266630741</c:v>
                </c:pt>
                <c:pt idx="7">
                  <c:v>91.5837687405149</c:v>
                </c:pt>
                <c:pt idx="8">
                  <c:v>91.8797465080312</c:v>
                </c:pt>
                <c:pt idx="9">
                  <c:v>92.1025580417021</c:v>
                </c:pt>
                <c:pt idx="10">
                  <c:v>92.2737103228357</c:v>
                </c:pt>
                <c:pt idx="11">
                  <c:v>92.4070367266518</c:v>
                </c:pt>
                <c:pt idx="12">
                  <c:v>92.5118391328143</c:v>
                </c:pt>
                <c:pt idx="13">
                  <c:v>92.5946029834501</c:v>
                </c:pt>
                <c:pt idx="14">
                  <c:v>92.659988225142</c:v>
                </c:pt>
                <c:pt idx="15">
                  <c:v>92.7114293701846</c:v>
                </c:pt>
                <c:pt idx="16">
                  <c:v>92.7515134625106</c:v>
                </c:pt>
                <c:pt idx="17">
                  <c:v>92.7822262786211</c:v>
                </c:pt>
                <c:pt idx="18">
                  <c:v>92.8051174120026</c:v>
                </c:pt>
                <c:pt idx="19">
                  <c:v>92.8214137979627</c:v>
                </c:pt>
                <c:pt idx="20">
                  <c:v>92.8320995364211</c:v>
                </c:pt>
                <c:pt idx="21">
                  <c:v>92.8379731349652</c:v>
                </c:pt>
                <c:pt idx="22">
                  <c:v>92.8396892884093</c:v>
                </c:pt>
                <c:pt idx="23">
                  <c:v>92.8377898583748</c:v>
                </c:pt>
                <c:pt idx="24">
                  <c:v>92.8327271754436</c:v>
                </c:pt>
                <c:pt idx="25">
                  <c:v>92.8248817955809</c:v>
                </c:pt>
                <c:pt idx="26">
                  <c:v>92.8145761918948</c:v>
                </c:pt>
                <c:pt idx="27">
                  <c:v>92.8020854273647</c:v>
                </c:pt>
                <c:pt idx="28">
                  <c:v>92.7876455576559</c:v>
                </c:pt>
                <c:pt idx="29">
                  <c:v>92.7714603079724</c:v>
                </c:pt>
                <c:pt idx="30">
                  <c:v>92.7537064238619</c:v>
                </c:pt>
                <c:pt idx="31">
                  <c:v>92.7345379933797</c:v>
                </c:pt>
                <c:pt idx="32">
                  <c:v>92.7140899641533</c:v>
                </c:pt>
                <c:pt idx="33">
                  <c:v>92.6924810250413</c:v>
                </c:pt>
                <c:pt idx="34">
                  <c:v>92.6698159823996</c:v>
                </c:pt>
                <c:pt idx="35">
                  <c:v>92.6461877314277</c:v>
                </c:pt>
                <c:pt idx="36">
                  <c:v>92.6216789008709</c:v>
                </c:pt>
                <c:pt idx="37">
                  <c:v>92.5963632325255</c:v>
                </c:pt>
                <c:pt idx="38">
                  <c:v>92.5703067441301</c:v>
                </c:pt>
                <c:pt idx="39">
                  <c:v>92.5435687143122</c:v>
                </c:pt>
                <c:pt idx="40">
                  <c:v>92.5162025205687</c:v>
                </c:pt>
                <c:pt idx="41">
                  <c:v>92.4882563552412</c:v>
                </c:pt>
                <c:pt idx="42">
                  <c:v>92.4597738397217</c:v>
                </c:pt>
                <c:pt idx="43">
                  <c:v>92.4307945533727</c:v>
                </c:pt>
                <c:pt idx="44">
                  <c:v>92.4013544906655</c:v>
                </c:pt>
                <c:pt idx="45">
                  <c:v>92.371486457652</c:v>
                </c:pt>
                <c:pt idx="46">
                  <c:v>92.3412204169583</c:v>
                </c:pt>
                <c:pt idx="47">
                  <c:v>92.3105837889328</c:v>
                </c:pt>
                <c:pt idx="48">
                  <c:v>92.2796017153167</c:v>
                </c:pt>
                <c:pt idx="49">
                  <c:v>92.2482972907654</c:v>
                </c:pt>
                <c:pt idx="50">
                  <c:v>92.2166917667046</c:v>
                </c:pt>
                <c:pt idx="51">
                  <c:v>92.1848047313022</c:v>
                </c:pt>
                <c:pt idx="52">
                  <c:v>92.1526542687578</c:v>
                </c:pt>
                <c:pt idx="53">
                  <c:v>92.120257100631</c:v>
                </c:pt>
                <c:pt idx="54">
                  <c:v>92.0876287115278</c:v>
                </c:pt>
                <c:pt idx="55">
                  <c:v>92.0547834611274</c:v>
                </c:pt>
                <c:pt idx="56">
                  <c:v>92.0217346842525</c:v>
                </c:pt>
                <c:pt idx="57">
                  <c:v>91.9884947804431</c:v>
                </c:pt>
                <c:pt idx="58">
                  <c:v>91.9550752942989</c:v>
                </c:pt>
                <c:pt idx="59">
                  <c:v>91.9214869876797</c:v>
                </c:pt>
                <c:pt idx="60">
                  <c:v>91.8877399047111</c:v>
                </c:pt>
                <c:pt idx="61">
                  <c:v>91.8538434304186</c:v>
                </c:pt>
                <c:pt idx="62">
                  <c:v>91.819806343706</c:v>
                </c:pt>
                <c:pt idx="63">
                  <c:v>91.7856368653057</c:v>
                </c:pt>
                <c:pt idx="64">
                  <c:v>91.7513427012482</c:v>
                </c:pt>
                <c:pt idx="65">
                  <c:v>91.7169310823315</c:v>
                </c:pt>
                <c:pt idx="66">
                  <c:v>91.6824088000147</c:v>
                </c:pt>
                <c:pt idx="67">
                  <c:v>91.6477822391067</c:v>
                </c:pt>
                <c:pt idx="68">
                  <c:v>91.6130574075794</c:v>
                </c:pt>
                <c:pt idx="69">
                  <c:v>91.578239963797</c:v>
                </c:pt>
                <c:pt idx="70">
                  <c:v>91.5433352414175</c:v>
                </c:pt>
                <c:pt idx="71">
                  <c:v>91.5083482721971</c:v>
                </c:pt>
                <c:pt idx="72">
                  <c:v>91.4732838068984</c:v>
                </c:pt>
                <c:pt idx="73">
                  <c:v>91.4381463344866</c:v>
                </c:pt>
                <c:pt idx="74">
                  <c:v>91.4029400997726</c:v>
                </c:pt>
                <c:pt idx="75">
                  <c:v>91.3676691196485</c:v>
                </c:pt>
                <c:pt idx="76">
                  <c:v>91.3323371980461</c:v>
                </c:pt>
                <c:pt idx="77">
                  <c:v>91.2969479397315</c:v>
                </c:pt>
                <c:pt idx="78">
                  <c:v>91.2615047630423</c:v>
                </c:pt>
                <c:pt idx="79">
                  <c:v>91.2260109116598</c:v>
                </c:pt>
                <c:pt idx="80">
                  <c:v>91.1904694655008</c:v>
                </c:pt>
                <c:pt idx="81">
                  <c:v>91.1548833508039</c:v>
                </c:pt>
                <c:pt idx="82">
                  <c:v>91.1192553494806</c:v>
                </c:pt>
                <c:pt idx="83">
                  <c:v>91.0835881077918</c:v>
                </c:pt>
                <c:pt idx="84">
                  <c:v>91.0478841444057</c:v>
                </c:pt>
                <c:pt idx="85">
                  <c:v>91.012145857889</c:v>
                </c:pt>
                <c:pt idx="86">
                  <c:v>90.976375533676</c:v>
                </c:pt>
                <c:pt idx="87">
                  <c:v>90.9405753505588</c:v>
                </c:pt>
                <c:pt idx="88">
                  <c:v>90.9047473867359</c:v>
                </c:pt>
                <c:pt idx="89">
                  <c:v>90.8688936254537</c:v>
                </c:pt>
                <c:pt idx="90">
                  <c:v>90.8330159602729</c:v>
                </c:pt>
                <c:pt idx="91">
                  <c:v>90.7971161999888</c:v>
                </c:pt>
                <c:pt idx="92">
                  <c:v>90.7611960732311</c:v>
                </c:pt>
                <c:pt idx="93">
                  <c:v>90.7252572327676</c:v>
                </c:pt>
                <c:pt idx="94">
                  <c:v>90.6893012595337</c:v>
                </c:pt>
                <c:pt idx="95">
                  <c:v>90.6533296664084</c:v>
                </c:pt>
                <c:pt idx="96">
                  <c:v>90.6173439017546</c:v>
                </c:pt>
                <c:pt idx="97">
                  <c:v>90.5813453527405</c:v>
                </c:pt>
                <c:pt idx="98">
                  <c:v>90.5453353484585</c:v>
                </c:pt>
                <c:pt idx="99">
                  <c:v>90.5093151628555</c:v>
                </c:pt>
                <c:pt idx="100">
                  <c:v>90.4732860174875</c:v>
                </c:pt>
                <c:pt idx="101">
                  <c:v>90.4372490841111</c:v>
                </c:pt>
                <c:pt idx="102">
                  <c:v>90.4012054871226</c:v>
                </c:pt>
                <c:pt idx="103">
                  <c:v>90.3651563058556</c:v>
                </c:pt>
                <c:pt idx="104">
                  <c:v>90.3291025767461</c:v>
                </c:pt>
                <c:pt idx="105">
                  <c:v>90.2930452953741</c:v>
                </c:pt>
                <c:pt idx="106">
                  <c:v>90.2569854183903</c:v>
                </c:pt>
                <c:pt idx="107">
                  <c:v>90.2209238653342</c:v>
                </c:pt>
                <c:pt idx="108">
                  <c:v>90.1848615203522</c:v>
                </c:pt>
                <c:pt idx="109">
                  <c:v>90.1487992338204</c:v>
                </c:pt>
                <c:pt idx="110">
                  <c:v>90.1127378238801</c:v>
                </c:pt>
                <c:pt idx="111">
                  <c:v>90.0766780778894</c:v>
                </c:pt>
                <c:pt idx="112">
                  <c:v>90.0406207537982</c:v>
                </c:pt>
                <c:pt idx="113">
                  <c:v>90.0045665814492</c:v>
                </c:pt>
                <c:pt idx="114">
                  <c:v>89.9685162638116</c:v>
                </c:pt>
                <c:pt idx="115">
                  <c:v>89.9324704781499</c:v>
                </c:pt>
                <c:pt idx="116">
                  <c:v>89.8964298771326</c:v>
                </c:pt>
                <c:pt idx="117">
                  <c:v>89.8603950898839</c:v>
                </c:pt>
                <c:pt idx="118">
                  <c:v>89.8243667229825</c:v>
                </c:pt>
                <c:pt idx="119">
                  <c:v>89.7883453614095</c:v>
                </c:pt>
                <c:pt idx="120">
                  <c:v>89.7523315694494</c:v>
                </c:pt>
                <c:pt idx="121">
                  <c:v>89.7163258915464</c:v>
                </c:pt>
                <c:pt idx="122">
                  <c:v>89.6803288531186</c:v>
                </c:pt>
                <c:pt idx="123">
                  <c:v>89.6443409613327</c:v>
                </c:pt>
                <c:pt idx="124">
                  <c:v>89.6083627058409</c:v>
                </c:pt>
                <c:pt idx="125">
                  <c:v>89.5723945594829</c:v>
                </c:pt>
                <c:pt idx="126">
                  <c:v>89.5364369789546</c:v>
                </c:pt>
                <c:pt idx="127">
                  <c:v>89.5004904054444</c:v>
                </c:pt>
                <c:pt idx="128">
                  <c:v>89.4645552652408</c:v>
                </c:pt>
                <c:pt idx="129">
                  <c:v>89.4286319703114</c:v>
                </c:pt>
                <c:pt idx="130">
                  <c:v>89.3927209188545</c:v>
                </c:pt>
                <c:pt idx="131">
                  <c:v>89.3568224958269</c:v>
                </c:pt>
                <c:pt idx="132">
                  <c:v>89.3209370734461</c:v>
                </c:pt>
                <c:pt idx="133">
                  <c:v>89.2850650116716</c:v>
                </c:pt>
                <c:pt idx="134">
                  <c:v>89.2492066586629</c:v>
                </c:pt>
                <c:pt idx="135">
                  <c:v>89.2133623512188</c:v>
                </c:pt>
                <c:pt idx="136">
                  <c:v>89.1775324151961</c:v>
                </c:pt>
                <c:pt idx="137">
                  <c:v>89.1417171659106</c:v>
                </c:pt>
                <c:pt idx="138">
                  <c:v>89.1059169085209</c:v>
                </c:pt>
                <c:pt idx="139">
                  <c:v>89.0701319383947</c:v>
                </c:pt>
                <c:pt idx="140">
                  <c:v>89.0343625414606</c:v>
                </c:pt>
                <c:pt idx="141">
                  <c:v>88.9986089945443</c:v>
                </c:pt>
                <c:pt idx="142">
                  <c:v>88.9628715656904</c:v>
                </c:pt>
                <c:pt idx="143">
                  <c:v>88.9271505144713</c:v>
                </c:pt>
                <c:pt idx="144">
                  <c:v>88.8914460922828</c:v>
                </c:pt>
                <c:pt idx="145">
                  <c:v>88.8557585426278</c:v>
                </c:pt>
                <c:pt idx="146">
                  <c:v>88.820088101388</c:v>
                </c:pt>
                <c:pt idx="147">
                  <c:v>88.7844349970848</c:v>
                </c:pt>
                <c:pt idx="148">
                  <c:v>88.7487994511298</c:v>
                </c:pt>
                <c:pt idx="149">
                  <c:v>88.7131816780643</c:v>
                </c:pt>
                <c:pt idx="150">
                  <c:v>88.6775818857908</c:v>
                </c:pt>
              </c:numCache>
            </c:numRef>
          </c:yVal>
          <c:smooth val="0"/>
        </c:ser>
        <c:dLbls>
          <c:showLegendKey val="0"/>
          <c:showVal val="0"/>
          <c:showCatName val="0"/>
          <c:showSerName val="0"/>
          <c:showPercent val="0"/>
          <c:showBubbleSize val="0"/>
        </c:dLbls>
        <c:axId val="178605056"/>
        <c:axId val="178615040"/>
      </c:scatterChart>
      <c:scatterChart>
        <c:scatterStyle val="smooth"/>
        <c:varyColors val="0"/>
        <c:ser>
          <c:idx val="1"/>
          <c:order val="1"/>
          <c:tx>
            <c:strRef>
              <c:f>"MOSFET"</c:f>
              <c:strCache>
                <c:ptCount val="1"/>
                <c:pt idx="0">
                  <c:v>MOSFET</c:v>
                </c:pt>
              </c:strCache>
            </c:strRef>
          </c:tx>
          <c:spPr>
            <a:ln w="28575" cap="rnd" cmpd="sng" algn="ctr">
              <a:solidFill>
                <a:schemeClr val="tx2">
                  <a:lumMod val="75000"/>
                </a:schemeClr>
              </a:solidFill>
              <a:prstDash val="dashDot"/>
              <a:round/>
            </a:ln>
          </c:spPr>
          <c:marker>
            <c:symbol val="none"/>
          </c:marker>
          <c:dLbls>
            <c:delete val="1"/>
          </c:dLbls>
          <c:xVal>
            <c:numRef>
              <c:f>Eff_vs_IOUT!$S$7:$S$157</c:f>
              <c:numCache>
                <c:formatCode>General</c:formatCode>
                <c:ptCount val="151"/>
                <c:pt idx="0">
                  <c:v>0</c:v>
                </c:pt>
                <c:pt idx="1">
                  <c:v>0.02</c:v>
                </c:pt>
                <c:pt idx="2">
                  <c:v>0.04</c:v>
                </c:pt>
                <c:pt idx="3">
                  <c:v>0.06</c:v>
                </c:pt>
                <c:pt idx="4">
                  <c:v>0.08</c:v>
                </c:pt>
                <c:pt idx="5">
                  <c:v>0.1</c:v>
                </c:pt>
                <c:pt idx="6">
                  <c:v>0.12</c:v>
                </c:pt>
                <c:pt idx="7">
                  <c:v>0.14</c:v>
                </c:pt>
                <c:pt idx="8">
                  <c:v>0.16</c:v>
                </c:pt>
                <c:pt idx="9">
                  <c:v>0.18</c:v>
                </c:pt>
                <c:pt idx="10">
                  <c:v>0.2</c:v>
                </c:pt>
                <c:pt idx="11">
                  <c:v>0.22</c:v>
                </c:pt>
                <c:pt idx="12">
                  <c:v>0.24</c:v>
                </c:pt>
                <c:pt idx="13">
                  <c:v>0.26</c:v>
                </c:pt>
                <c:pt idx="14">
                  <c:v>0.28</c:v>
                </c:pt>
                <c:pt idx="15">
                  <c:v>0.3</c:v>
                </c:pt>
                <c:pt idx="16">
                  <c:v>0.32</c:v>
                </c:pt>
                <c:pt idx="17">
                  <c:v>0.34</c:v>
                </c:pt>
                <c:pt idx="18">
                  <c:v>0.36</c:v>
                </c:pt>
                <c:pt idx="19">
                  <c:v>0.38</c:v>
                </c:pt>
                <c:pt idx="20">
                  <c:v>0.4</c:v>
                </c:pt>
                <c:pt idx="21">
                  <c:v>0.42</c:v>
                </c:pt>
                <c:pt idx="22">
                  <c:v>0.44</c:v>
                </c:pt>
                <c:pt idx="23">
                  <c:v>0.46</c:v>
                </c:pt>
                <c:pt idx="24">
                  <c:v>0.48</c:v>
                </c:pt>
                <c:pt idx="25">
                  <c:v>0.5</c:v>
                </c:pt>
                <c:pt idx="26">
                  <c:v>0.52</c:v>
                </c:pt>
                <c:pt idx="27">
                  <c:v>0.54</c:v>
                </c:pt>
                <c:pt idx="28">
                  <c:v>0.56</c:v>
                </c:pt>
                <c:pt idx="29">
                  <c:v>0.58</c:v>
                </c:pt>
                <c:pt idx="30">
                  <c:v>0.6</c:v>
                </c:pt>
                <c:pt idx="31">
                  <c:v>0.62</c:v>
                </c:pt>
                <c:pt idx="32">
                  <c:v>0.64</c:v>
                </c:pt>
                <c:pt idx="33">
                  <c:v>0.66</c:v>
                </c:pt>
                <c:pt idx="34">
                  <c:v>0.68</c:v>
                </c:pt>
                <c:pt idx="35">
                  <c:v>0.7</c:v>
                </c:pt>
                <c:pt idx="36">
                  <c:v>0.72</c:v>
                </c:pt>
                <c:pt idx="37">
                  <c:v>0.74</c:v>
                </c:pt>
                <c:pt idx="38">
                  <c:v>0.76</c:v>
                </c:pt>
                <c:pt idx="39">
                  <c:v>0.78</c:v>
                </c:pt>
                <c:pt idx="40">
                  <c:v>0.8</c:v>
                </c:pt>
                <c:pt idx="41">
                  <c:v>0.82</c:v>
                </c:pt>
                <c:pt idx="42">
                  <c:v>0.84</c:v>
                </c:pt>
                <c:pt idx="43">
                  <c:v>0.86</c:v>
                </c:pt>
                <c:pt idx="44">
                  <c:v>0.88</c:v>
                </c:pt>
                <c:pt idx="45">
                  <c:v>0.9</c:v>
                </c:pt>
                <c:pt idx="46">
                  <c:v>0.92</c:v>
                </c:pt>
                <c:pt idx="47">
                  <c:v>0.94</c:v>
                </c:pt>
                <c:pt idx="48">
                  <c:v>0.96</c:v>
                </c:pt>
                <c:pt idx="49">
                  <c:v>0.98</c:v>
                </c:pt>
                <c:pt idx="50">
                  <c:v>1</c:v>
                </c:pt>
                <c:pt idx="51">
                  <c:v>1.02</c:v>
                </c:pt>
                <c:pt idx="52">
                  <c:v>1.04</c:v>
                </c:pt>
                <c:pt idx="53">
                  <c:v>1.06</c:v>
                </c:pt>
                <c:pt idx="54">
                  <c:v>1.08</c:v>
                </c:pt>
                <c:pt idx="55">
                  <c:v>1.1</c:v>
                </c:pt>
                <c:pt idx="56">
                  <c:v>1.12</c:v>
                </c:pt>
                <c:pt idx="57">
                  <c:v>1.14</c:v>
                </c:pt>
                <c:pt idx="58">
                  <c:v>1.16</c:v>
                </c:pt>
                <c:pt idx="59">
                  <c:v>1.18</c:v>
                </c:pt>
                <c:pt idx="60">
                  <c:v>1.2</c:v>
                </c:pt>
                <c:pt idx="61">
                  <c:v>1.22</c:v>
                </c:pt>
                <c:pt idx="62">
                  <c:v>1.24</c:v>
                </c:pt>
                <c:pt idx="63">
                  <c:v>1.26</c:v>
                </c:pt>
                <c:pt idx="64">
                  <c:v>1.28</c:v>
                </c:pt>
                <c:pt idx="65">
                  <c:v>1.3</c:v>
                </c:pt>
                <c:pt idx="66">
                  <c:v>1.32</c:v>
                </c:pt>
                <c:pt idx="67">
                  <c:v>1.34</c:v>
                </c:pt>
                <c:pt idx="68">
                  <c:v>1.36</c:v>
                </c:pt>
                <c:pt idx="69">
                  <c:v>1.38</c:v>
                </c:pt>
                <c:pt idx="70">
                  <c:v>1.4</c:v>
                </c:pt>
                <c:pt idx="71">
                  <c:v>1.42</c:v>
                </c:pt>
                <c:pt idx="72">
                  <c:v>1.44</c:v>
                </c:pt>
                <c:pt idx="73">
                  <c:v>1.46</c:v>
                </c:pt>
                <c:pt idx="74">
                  <c:v>1.48</c:v>
                </c:pt>
                <c:pt idx="75">
                  <c:v>1.5</c:v>
                </c:pt>
                <c:pt idx="76">
                  <c:v>1.52</c:v>
                </c:pt>
                <c:pt idx="77">
                  <c:v>1.54</c:v>
                </c:pt>
                <c:pt idx="78">
                  <c:v>1.56</c:v>
                </c:pt>
                <c:pt idx="79">
                  <c:v>1.58</c:v>
                </c:pt>
                <c:pt idx="80">
                  <c:v>1.6</c:v>
                </c:pt>
                <c:pt idx="81">
                  <c:v>1.62</c:v>
                </c:pt>
                <c:pt idx="82">
                  <c:v>1.64</c:v>
                </c:pt>
                <c:pt idx="83">
                  <c:v>1.66</c:v>
                </c:pt>
                <c:pt idx="84">
                  <c:v>1.68</c:v>
                </c:pt>
                <c:pt idx="85">
                  <c:v>1.7</c:v>
                </c:pt>
                <c:pt idx="86">
                  <c:v>1.72</c:v>
                </c:pt>
                <c:pt idx="87">
                  <c:v>1.74</c:v>
                </c:pt>
                <c:pt idx="88">
                  <c:v>1.76</c:v>
                </c:pt>
                <c:pt idx="89">
                  <c:v>1.78</c:v>
                </c:pt>
                <c:pt idx="90">
                  <c:v>1.8</c:v>
                </c:pt>
                <c:pt idx="91">
                  <c:v>1.82</c:v>
                </c:pt>
                <c:pt idx="92">
                  <c:v>1.84</c:v>
                </c:pt>
                <c:pt idx="93">
                  <c:v>1.86</c:v>
                </c:pt>
                <c:pt idx="94">
                  <c:v>1.88</c:v>
                </c:pt>
                <c:pt idx="95">
                  <c:v>1.9</c:v>
                </c:pt>
                <c:pt idx="96">
                  <c:v>1.92</c:v>
                </c:pt>
                <c:pt idx="97">
                  <c:v>1.94</c:v>
                </c:pt>
                <c:pt idx="98">
                  <c:v>1.96</c:v>
                </c:pt>
                <c:pt idx="99">
                  <c:v>1.98</c:v>
                </c:pt>
                <c:pt idx="100">
                  <c:v>2</c:v>
                </c:pt>
                <c:pt idx="101">
                  <c:v>2.02</c:v>
                </c:pt>
                <c:pt idx="102">
                  <c:v>2.04</c:v>
                </c:pt>
                <c:pt idx="103">
                  <c:v>2.06</c:v>
                </c:pt>
                <c:pt idx="104">
                  <c:v>2.08</c:v>
                </c:pt>
                <c:pt idx="105">
                  <c:v>2.1</c:v>
                </c:pt>
                <c:pt idx="106">
                  <c:v>2.12</c:v>
                </c:pt>
                <c:pt idx="107">
                  <c:v>2.14</c:v>
                </c:pt>
                <c:pt idx="108">
                  <c:v>2.16</c:v>
                </c:pt>
                <c:pt idx="109">
                  <c:v>2.18</c:v>
                </c:pt>
                <c:pt idx="110">
                  <c:v>2.2</c:v>
                </c:pt>
                <c:pt idx="111">
                  <c:v>2.22</c:v>
                </c:pt>
                <c:pt idx="112">
                  <c:v>2.24</c:v>
                </c:pt>
                <c:pt idx="113">
                  <c:v>2.26</c:v>
                </c:pt>
                <c:pt idx="114">
                  <c:v>2.28</c:v>
                </c:pt>
                <c:pt idx="115">
                  <c:v>2.3</c:v>
                </c:pt>
                <c:pt idx="116">
                  <c:v>2.32</c:v>
                </c:pt>
                <c:pt idx="117">
                  <c:v>2.34</c:v>
                </c:pt>
                <c:pt idx="118">
                  <c:v>2.36</c:v>
                </c:pt>
                <c:pt idx="119">
                  <c:v>2.38</c:v>
                </c:pt>
                <c:pt idx="120">
                  <c:v>2.4</c:v>
                </c:pt>
                <c:pt idx="121">
                  <c:v>2.42</c:v>
                </c:pt>
                <c:pt idx="122">
                  <c:v>2.44</c:v>
                </c:pt>
                <c:pt idx="123">
                  <c:v>2.46</c:v>
                </c:pt>
                <c:pt idx="124">
                  <c:v>2.48</c:v>
                </c:pt>
                <c:pt idx="125">
                  <c:v>2.5</c:v>
                </c:pt>
                <c:pt idx="126">
                  <c:v>2.52</c:v>
                </c:pt>
                <c:pt idx="127">
                  <c:v>2.54</c:v>
                </c:pt>
                <c:pt idx="128">
                  <c:v>2.56</c:v>
                </c:pt>
                <c:pt idx="129">
                  <c:v>2.58</c:v>
                </c:pt>
                <c:pt idx="130">
                  <c:v>2.6</c:v>
                </c:pt>
                <c:pt idx="131">
                  <c:v>2.62</c:v>
                </c:pt>
                <c:pt idx="132">
                  <c:v>2.64</c:v>
                </c:pt>
                <c:pt idx="133">
                  <c:v>2.66</c:v>
                </c:pt>
                <c:pt idx="134">
                  <c:v>2.68</c:v>
                </c:pt>
                <c:pt idx="135">
                  <c:v>2.7</c:v>
                </c:pt>
                <c:pt idx="136">
                  <c:v>2.72</c:v>
                </c:pt>
                <c:pt idx="137">
                  <c:v>2.74</c:v>
                </c:pt>
                <c:pt idx="138">
                  <c:v>2.76</c:v>
                </c:pt>
                <c:pt idx="139">
                  <c:v>2.78</c:v>
                </c:pt>
                <c:pt idx="140">
                  <c:v>2.8</c:v>
                </c:pt>
                <c:pt idx="141">
                  <c:v>2.82</c:v>
                </c:pt>
                <c:pt idx="142">
                  <c:v>2.84</c:v>
                </c:pt>
                <c:pt idx="143">
                  <c:v>2.86</c:v>
                </c:pt>
                <c:pt idx="144">
                  <c:v>2.88</c:v>
                </c:pt>
                <c:pt idx="145">
                  <c:v>2.9</c:v>
                </c:pt>
                <c:pt idx="146">
                  <c:v>2.92</c:v>
                </c:pt>
                <c:pt idx="147">
                  <c:v>2.94</c:v>
                </c:pt>
                <c:pt idx="148">
                  <c:v>2.96</c:v>
                </c:pt>
                <c:pt idx="149">
                  <c:v>2.98</c:v>
                </c:pt>
                <c:pt idx="150">
                  <c:v>3</c:v>
                </c:pt>
              </c:numCache>
            </c:numRef>
          </c:xVal>
          <c:yVal>
            <c:numRef>
              <c:f>Eff_vs_IOUT!$AI$7:$AI$157</c:f>
              <c:numCache>
                <c:formatCode>General</c:formatCode>
                <c:ptCount val="151"/>
                <c:pt idx="0">
                  <c:v>0</c:v>
                </c:pt>
                <c:pt idx="1">
                  <c:v>0.0166749759210857</c:v>
                </c:pt>
                <c:pt idx="2">
                  <c:v>0.0329565401934279</c:v>
                </c:pt>
                <c:pt idx="3">
                  <c:v>0.0496095003884034</c:v>
                </c:pt>
                <c:pt idx="4">
                  <c:v>0.0664324605833789</c:v>
                </c:pt>
                <c:pt idx="5">
                  <c:v>0.0834254207783543</c:v>
                </c:pt>
                <c:pt idx="6">
                  <c:v>0.10058838097333</c:v>
                </c:pt>
                <c:pt idx="7">
                  <c:v>0.117921341168305</c:v>
                </c:pt>
                <c:pt idx="8">
                  <c:v>0.135424301363281</c:v>
                </c:pt>
                <c:pt idx="9">
                  <c:v>0.153097261558256</c:v>
                </c:pt>
                <c:pt idx="10">
                  <c:v>0.170940221753232</c:v>
                </c:pt>
                <c:pt idx="11">
                  <c:v>0.188953181948207</c:v>
                </c:pt>
                <c:pt idx="12">
                  <c:v>0.207136142143183</c:v>
                </c:pt>
                <c:pt idx="13">
                  <c:v>0.225489102338158</c:v>
                </c:pt>
                <c:pt idx="14">
                  <c:v>0.244012062533134</c:v>
                </c:pt>
                <c:pt idx="15">
                  <c:v>0.262705022728109</c:v>
                </c:pt>
                <c:pt idx="16">
                  <c:v>0.281567982923085</c:v>
                </c:pt>
                <c:pt idx="17">
                  <c:v>0.30060094311806</c:v>
                </c:pt>
                <c:pt idx="18">
                  <c:v>0.319803903313035</c:v>
                </c:pt>
                <c:pt idx="19">
                  <c:v>0.339176863508011</c:v>
                </c:pt>
                <c:pt idx="20">
                  <c:v>0.358719823702986</c:v>
                </c:pt>
                <c:pt idx="21">
                  <c:v>0.378432783897962</c:v>
                </c:pt>
                <c:pt idx="22">
                  <c:v>0.398315744092938</c:v>
                </c:pt>
                <c:pt idx="23">
                  <c:v>0.418368704287913</c:v>
                </c:pt>
                <c:pt idx="24">
                  <c:v>0.438591664482888</c:v>
                </c:pt>
                <c:pt idx="25">
                  <c:v>0.458984624677864</c:v>
                </c:pt>
                <c:pt idx="26">
                  <c:v>0.479547584872839</c:v>
                </c:pt>
                <c:pt idx="27">
                  <c:v>0.500280545067815</c:v>
                </c:pt>
                <c:pt idx="28">
                  <c:v>0.52118350526279</c:v>
                </c:pt>
                <c:pt idx="29">
                  <c:v>0.542256465457766</c:v>
                </c:pt>
                <c:pt idx="30">
                  <c:v>0.563499425652741</c:v>
                </c:pt>
                <c:pt idx="31">
                  <c:v>0.584912385847717</c:v>
                </c:pt>
                <c:pt idx="32">
                  <c:v>0.606495346042692</c:v>
                </c:pt>
                <c:pt idx="33">
                  <c:v>0.628248306237668</c:v>
                </c:pt>
                <c:pt idx="34">
                  <c:v>0.650171266432643</c:v>
                </c:pt>
                <c:pt idx="35">
                  <c:v>0.672264226627619</c:v>
                </c:pt>
                <c:pt idx="36">
                  <c:v>0.694527186822594</c:v>
                </c:pt>
                <c:pt idx="37">
                  <c:v>0.71696014701757</c:v>
                </c:pt>
                <c:pt idx="38">
                  <c:v>0.739563107212545</c:v>
                </c:pt>
                <c:pt idx="39">
                  <c:v>0.762336067407521</c:v>
                </c:pt>
                <c:pt idx="40">
                  <c:v>0.785279027602496</c:v>
                </c:pt>
                <c:pt idx="41">
                  <c:v>0.808391987797472</c:v>
                </c:pt>
                <c:pt idx="42">
                  <c:v>0.831674947992447</c:v>
                </c:pt>
                <c:pt idx="43">
                  <c:v>0.855127908187423</c:v>
                </c:pt>
                <c:pt idx="44">
                  <c:v>0.878750868382398</c:v>
                </c:pt>
                <c:pt idx="45">
                  <c:v>0.902543828577374</c:v>
                </c:pt>
                <c:pt idx="46">
                  <c:v>0.926506788772349</c:v>
                </c:pt>
                <c:pt idx="47">
                  <c:v>0.950639748967325</c:v>
                </c:pt>
                <c:pt idx="48">
                  <c:v>0.9749427091623</c:v>
                </c:pt>
                <c:pt idx="49">
                  <c:v>0.999415669357276</c:v>
                </c:pt>
                <c:pt idx="50">
                  <c:v>1.02405862955225</c:v>
                </c:pt>
                <c:pt idx="51">
                  <c:v>1.04887158974723</c:v>
                </c:pt>
                <c:pt idx="52">
                  <c:v>1.0738545499422</c:v>
                </c:pt>
                <c:pt idx="53">
                  <c:v>1.09900751013718</c:v>
                </c:pt>
                <c:pt idx="54">
                  <c:v>1.12433047033215</c:v>
                </c:pt>
                <c:pt idx="55">
                  <c:v>1.14982343052713</c:v>
                </c:pt>
                <c:pt idx="56">
                  <c:v>1.1754863907221</c:v>
                </c:pt>
                <c:pt idx="57">
                  <c:v>1.20131935091708</c:v>
                </c:pt>
                <c:pt idx="58">
                  <c:v>1.22732231111205</c:v>
                </c:pt>
                <c:pt idx="59">
                  <c:v>1.25349527130703</c:v>
                </c:pt>
                <c:pt idx="60">
                  <c:v>1.27983823150201</c:v>
                </c:pt>
                <c:pt idx="61">
                  <c:v>1.30635119169698</c:v>
                </c:pt>
                <c:pt idx="62">
                  <c:v>1.33303415189196</c:v>
                </c:pt>
                <c:pt idx="63">
                  <c:v>1.35988711208693</c:v>
                </c:pt>
                <c:pt idx="64">
                  <c:v>1.38691007228191</c:v>
                </c:pt>
                <c:pt idx="65">
                  <c:v>1.41410303247688</c:v>
                </c:pt>
                <c:pt idx="66">
                  <c:v>1.44146599267186</c:v>
                </c:pt>
                <c:pt idx="67">
                  <c:v>1.46899895286683</c:v>
                </c:pt>
                <c:pt idx="68">
                  <c:v>1.49670191306181</c:v>
                </c:pt>
                <c:pt idx="69">
                  <c:v>1.52457487325679</c:v>
                </c:pt>
                <c:pt idx="70">
                  <c:v>1.55261783345176</c:v>
                </c:pt>
                <c:pt idx="71">
                  <c:v>1.58083079364674</c:v>
                </c:pt>
                <c:pt idx="72">
                  <c:v>1.60921375384171</c:v>
                </c:pt>
                <c:pt idx="73">
                  <c:v>1.63776671403669</c:v>
                </c:pt>
                <c:pt idx="74">
                  <c:v>1.66648967423166</c:v>
                </c:pt>
                <c:pt idx="75">
                  <c:v>1.69538263442664</c:v>
                </c:pt>
                <c:pt idx="76">
                  <c:v>1.72444559462161</c:v>
                </c:pt>
                <c:pt idx="77">
                  <c:v>1.75367855481659</c:v>
                </c:pt>
                <c:pt idx="78">
                  <c:v>1.78308151501156</c:v>
                </c:pt>
                <c:pt idx="79">
                  <c:v>1.81265447520654</c:v>
                </c:pt>
                <c:pt idx="80">
                  <c:v>1.84239743540152</c:v>
                </c:pt>
                <c:pt idx="81">
                  <c:v>1.87231039559649</c:v>
                </c:pt>
                <c:pt idx="82">
                  <c:v>1.90239335579147</c:v>
                </c:pt>
                <c:pt idx="83">
                  <c:v>1.93264631598644</c:v>
                </c:pt>
                <c:pt idx="84">
                  <c:v>1.96306927618142</c:v>
                </c:pt>
                <c:pt idx="85">
                  <c:v>1.99366223637639</c:v>
                </c:pt>
                <c:pt idx="86">
                  <c:v>2.02442519657137</c:v>
                </c:pt>
                <c:pt idx="87">
                  <c:v>2.05535815676634</c:v>
                </c:pt>
                <c:pt idx="88">
                  <c:v>2.08646111696132</c:v>
                </c:pt>
                <c:pt idx="89">
                  <c:v>2.11773407715629</c:v>
                </c:pt>
                <c:pt idx="90">
                  <c:v>2.14917703735127</c:v>
                </c:pt>
                <c:pt idx="91">
                  <c:v>2.18078999754625</c:v>
                </c:pt>
                <c:pt idx="92">
                  <c:v>2.21257295774122</c:v>
                </c:pt>
                <c:pt idx="93">
                  <c:v>2.2445259179362</c:v>
                </c:pt>
                <c:pt idx="94">
                  <c:v>2.27664887813117</c:v>
                </c:pt>
                <c:pt idx="95">
                  <c:v>2.30894183832615</c:v>
                </c:pt>
                <c:pt idx="96">
                  <c:v>2.34140479852112</c:v>
                </c:pt>
                <c:pt idx="97">
                  <c:v>2.3740377587161</c:v>
                </c:pt>
                <c:pt idx="98">
                  <c:v>2.40684071891107</c:v>
                </c:pt>
                <c:pt idx="99">
                  <c:v>2.43981367910605</c:v>
                </c:pt>
                <c:pt idx="100">
                  <c:v>2.47295663930102</c:v>
                </c:pt>
                <c:pt idx="101">
                  <c:v>2.506269599496</c:v>
                </c:pt>
                <c:pt idx="102">
                  <c:v>2.53975255969098</c:v>
                </c:pt>
                <c:pt idx="103">
                  <c:v>2.57340551988595</c:v>
                </c:pt>
                <c:pt idx="104">
                  <c:v>2.60722848008093</c:v>
                </c:pt>
                <c:pt idx="105">
                  <c:v>2.6412214402759</c:v>
                </c:pt>
                <c:pt idx="106">
                  <c:v>2.67538440047088</c:v>
                </c:pt>
                <c:pt idx="107">
                  <c:v>2.70971736066585</c:v>
                </c:pt>
                <c:pt idx="108">
                  <c:v>2.74422032086083</c:v>
                </c:pt>
                <c:pt idx="109">
                  <c:v>2.7788932810558</c:v>
                </c:pt>
                <c:pt idx="110">
                  <c:v>2.81373624125078</c:v>
                </c:pt>
                <c:pt idx="111">
                  <c:v>2.84874920144576</c:v>
                </c:pt>
                <c:pt idx="112">
                  <c:v>2.88393216164073</c:v>
                </c:pt>
                <c:pt idx="113">
                  <c:v>2.91928512183571</c:v>
                </c:pt>
                <c:pt idx="114">
                  <c:v>2.95480808203068</c:v>
                </c:pt>
                <c:pt idx="115">
                  <c:v>2.99050104222566</c:v>
                </c:pt>
                <c:pt idx="116">
                  <c:v>3.02636400242063</c:v>
                </c:pt>
                <c:pt idx="117">
                  <c:v>3.06239696261561</c:v>
                </c:pt>
                <c:pt idx="118">
                  <c:v>3.09859992281058</c:v>
                </c:pt>
                <c:pt idx="119">
                  <c:v>3.13497288300556</c:v>
                </c:pt>
                <c:pt idx="120">
                  <c:v>3.17151584320053</c:v>
                </c:pt>
                <c:pt idx="121">
                  <c:v>3.20822880339551</c:v>
                </c:pt>
                <c:pt idx="122">
                  <c:v>3.24511176359048</c:v>
                </c:pt>
                <c:pt idx="123">
                  <c:v>3.28216472378546</c:v>
                </c:pt>
                <c:pt idx="124">
                  <c:v>3.31938768398044</c:v>
                </c:pt>
                <c:pt idx="125">
                  <c:v>3.35678064417541</c:v>
                </c:pt>
                <c:pt idx="126">
                  <c:v>3.39434360437039</c:v>
                </c:pt>
                <c:pt idx="127">
                  <c:v>3.43207656456536</c:v>
                </c:pt>
                <c:pt idx="128">
                  <c:v>3.46997952476034</c:v>
                </c:pt>
                <c:pt idx="129">
                  <c:v>3.50805248495531</c:v>
                </c:pt>
                <c:pt idx="130">
                  <c:v>3.54629544515029</c:v>
                </c:pt>
                <c:pt idx="131">
                  <c:v>3.58470840534527</c:v>
                </c:pt>
                <c:pt idx="132">
                  <c:v>3.62329136554024</c:v>
                </c:pt>
                <c:pt idx="133">
                  <c:v>3.66204432573522</c:v>
                </c:pt>
                <c:pt idx="134">
                  <c:v>3.70096728593019</c:v>
                </c:pt>
                <c:pt idx="135">
                  <c:v>3.74006024612517</c:v>
                </c:pt>
                <c:pt idx="136">
                  <c:v>3.77932320632014</c:v>
                </c:pt>
                <c:pt idx="137">
                  <c:v>3.81875616651512</c:v>
                </c:pt>
                <c:pt idx="138">
                  <c:v>3.85835912671009</c:v>
                </c:pt>
                <c:pt idx="139">
                  <c:v>3.89813208690507</c:v>
                </c:pt>
                <c:pt idx="140">
                  <c:v>3.93807504710004</c:v>
                </c:pt>
                <c:pt idx="141">
                  <c:v>3.97818800729502</c:v>
                </c:pt>
                <c:pt idx="142">
                  <c:v>4.01847096748999</c:v>
                </c:pt>
                <c:pt idx="143">
                  <c:v>4.05892392768497</c:v>
                </c:pt>
                <c:pt idx="144">
                  <c:v>4.09954688787995</c:v>
                </c:pt>
                <c:pt idx="145">
                  <c:v>4.14033984807492</c:v>
                </c:pt>
                <c:pt idx="146">
                  <c:v>4.1813028082699</c:v>
                </c:pt>
                <c:pt idx="147">
                  <c:v>4.22243576846487</c:v>
                </c:pt>
                <c:pt idx="148">
                  <c:v>4.26373872865985</c:v>
                </c:pt>
                <c:pt idx="149">
                  <c:v>4.30521168885482</c:v>
                </c:pt>
                <c:pt idx="150">
                  <c:v>4.3468546490498</c:v>
                </c:pt>
              </c:numCache>
            </c:numRef>
          </c:yVal>
          <c:smooth val="1"/>
        </c:ser>
        <c:ser>
          <c:idx val="2"/>
          <c:order val="2"/>
          <c:tx>
            <c:strRef>
              <c:f>"Diode"</c:f>
              <c:strCache>
                <c:ptCount val="1"/>
                <c:pt idx="0">
                  <c:v>Diode</c:v>
                </c:pt>
              </c:strCache>
            </c:strRef>
          </c:tx>
          <c:spPr>
            <a:ln w="28575" cap="rnd" cmpd="sng" algn="ctr">
              <a:solidFill>
                <a:schemeClr val="bg2">
                  <a:lumMod val="50000"/>
                </a:schemeClr>
              </a:solidFill>
              <a:prstDash val="sysDash"/>
              <a:round/>
            </a:ln>
          </c:spPr>
          <c:marker>
            <c:symbol val="none"/>
          </c:marker>
          <c:dLbls>
            <c:delete val="1"/>
          </c:dLbls>
          <c:xVal>
            <c:numRef>
              <c:f>Eff_vs_IOUT!$S$7:$S$157</c:f>
              <c:numCache>
                <c:formatCode>General</c:formatCode>
                <c:ptCount val="151"/>
                <c:pt idx="0">
                  <c:v>0</c:v>
                </c:pt>
                <c:pt idx="1">
                  <c:v>0.02</c:v>
                </c:pt>
                <c:pt idx="2">
                  <c:v>0.04</c:v>
                </c:pt>
                <c:pt idx="3">
                  <c:v>0.06</c:v>
                </c:pt>
                <c:pt idx="4">
                  <c:v>0.08</c:v>
                </c:pt>
                <c:pt idx="5">
                  <c:v>0.1</c:v>
                </c:pt>
                <c:pt idx="6">
                  <c:v>0.12</c:v>
                </c:pt>
                <c:pt idx="7">
                  <c:v>0.14</c:v>
                </c:pt>
                <c:pt idx="8">
                  <c:v>0.16</c:v>
                </c:pt>
                <c:pt idx="9">
                  <c:v>0.18</c:v>
                </c:pt>
                <c:pt idx="10">
                  <c:v>0.2</c:v>
                </c:pt>
                <c:pt idx="11">
                  <c:v>0.22</c:v>
                </c:pt>
                <c:pt idx="12">
                  <c:v>0.24</c:v>
                </c:pt>
                <c:pt idx="13">
                  <c:v>0.26</c:v>
                </c:pt>
                <c:pt idx="14">
                  <c:v>0.28</c:v>
                </c:pt>
                <c:pt idx="15">
                  <c:v>0.3</c:v>
                </c:pt>
                <c:pt idx="16">
                  <c:v>0.32</c:v>
                </c:pt>
                <c:pt idx="17">
                  <c:v>0.34</c:v>
                </c:pt>
                <c:pt idx="18">
                  <c:v>0.36</c:v>
                </c:pt>
                <c:pt idx="19">
                  <c:v>0.38</c:v>
                </c:pt>
                <c:pt idx="20">
                  <c:v>0.4</c:v>
                </c:pt>
                <c:pt idx="21">
                  <c:v>0.42</c:v>
                </c:pt>
                <c:pt idx="22">
                  <c:v>0.44</c:v>
                </c:pt>
                <c:pt idx="23">
                  <c:v>0.46</c:v>
                </c:pt>
                <c:pt idx="24">
                  <c:v>0.48</c:v>
                </c:pt>
                <c:pt idx="25">
                  <c:v>0.5</c:v>
                </c:pt>
                <c:pt idx="26">
                  <c:v>0.52</c:v>
                </c:pt>
                <c:pt idx="27">
                  <c:v>0.54</c:v>
                </c:pt>
                <c:pt idx="28">
                  <c:v>0.56</c:v>
                </c:pt>
                <c:pt idx="29">
                  <c:v>0.58</c:v>
                </c:pt>
                <c:pt idx="30">
                  <c:v>0.6</c:v>
                </c:pt>
                <c:pt idx="31">
                  <c:v>0.62</c:v>
                </c:pt>
                <c:pt idx="32">
                  <c:v>0.64</c:v>
                </c:pt>
                <c:pt idx="33">
                  <c:v>0.66</c:v>
                </c:pt>
                <c:pt idx="34">
                  <c:v>0.68</c:v>
                </c:pt>
                <c:pt idx="35">
                  <c:v>0.7</c:v>
                </c:pt>
                <c:pt idx="36">
                  <c:v>0.72</c:v>
                </c:pt>
                <c:pt idx="37">
                  <c:v>0.74</c:v>
                </c:pt>
                <c:pt idx="38">
                  <c:v>0.76</c:v>
                </c:pt>
                <c:pt idx="39">
                  <c:v>0.78</c:v>
                </c:pt>
                <c:pt idx="40">
                  <c:v>0.8</c:v>
                </c:pt>
                <c:pt idx="41">
                  <c:v>0.82</c:v>
                </c:pt>
                <c:pt idx="42">
                  <c:v>0.84</c:v>
                </c:pt>
                <c:pt idx="43">
                  <c:v>0.86</c:v>
                </c:pt>
                <c:pt idx="44">
                  <c:v>0.88</c:v>
                </c:pt>
                <c:pt idx="45">
                  <c:v>0.9</c:v>
                </c:pt>
                <c:pt idx="46">
                  <c:v>0.92</c:v>
                </c:pt>
                <c:pt idx="47">
                  <c:v>0.94</c:v>
                </c:pt>
                <c:pt idx="48">
                  <c:v>0.96</c:v>
                </c:pt>
                <c:pt idx="49">
                  <c:v>0.98</c:v>
                </c:pt>
                <c:pt idx="50">
                  <c:v>1</c:v>
                </c:pt>
                <c:pt idx="51">
                  <c:v>1.02</c:v>
                </c:pt>
                <c:pt idx="52">
                  <c:v>1.04</c:v>
                </c:pt>
                <c:pt idx="53">
                  <c:v>1.06</c:v>
                </c:pt>
                <c:pt idx="54">
                  <c:v>1.08</c:v>
                </c:pt>
                <c:pt idx="55">
                  <c:v>1.1</c:v>
                </c:pt>
                <c:pt idx="56">
                  <c:v>1.12</c:v>
                </c:pt>
                <c:pt idx="57">
                  <c:v>1.14</c:v>
                </c:pt>
                <c:pt idx="58">
                  <c:v>1.16</c:v>
                </c:pt>
                <c:pt idx="59">
                  <c:v>1.18</c:v>
                </c:pt>
                <c:pt idx="60">
                  <c:v>1.2</c:v>
                </c:pt>
                <c:pt idx="61">
                  <c:v>1.22</c:v>
                </c:pt>
                <c:pt idx="62">
                  <c:v>1.24</c:v>
                </c:pt>
                <c:pt idx="63">
                  <c:v>1.26</c:v>
                </c:pt>
                <c:pt idx="64">
                  <c:v>1.28</c:v>
                </c:pt>
                <c:pt idx="65">
                  <c:v>1.3</c:v>
                </c:pt>
                <c:pt idx="66">
                  <c:v>1.32</c:v>
                </c:pt>
                <c:pt idx="67">
                  <c:v>1.34</c:v>
                </c:pt>
                <c:pt idx="68">
                  <c:v>1.36</c:v>
                </c:pt>
                <c:pt idx="69">
                  <c:v>1.38</c:v>
                </c:pt>
                <c:pt idx="70">
                  <c:v>1.4</c:v>
                </c:pt>
                <c:pt idx="71">
                  <c:v>1.42</c:v>
                </c:pt>
                <c:pt idx="72">
                  <c:v>1.44</c:v>
                </c:pt>
                <c:pt idx="73">
                  <c:v>1.46</c:v>
                </c:pt>
                <c:pt idx="74">
                  <c:v>1.48</c:v>
                </c:pt>
                <c:pt idx="75">
                  <c:v>1.5</c:v>
                </c:pt>
                <c:pt idx="76">
                  <c:v>1.52</c:v>
                </c:pt>
                <c:pt idx="77">
                  <c:v>1.54</c:v>
                </c:pt>
                <c:pt idx="78">
                  <c:v>1.56</c:v>
                </c:pt>
                <c:pt idx="79">
                  <c:v>1.58</c:v>
                </c:pt>
                <c:pt idx="80">
                  <c:v>1.6</c:v>
                </c:pt>
                <c:pt idx="81">
                  <c:v>1.62</c:v>
                </c:pt>
                <c:pt idx="82">
                  <c:v>1.64</c:v>
                </c:pt>
                <c:pt idx="83">
                  <c:v>1.66</c:v>
                </c:pt>
                <c:pt idx="84">
                  <c:v>1.68</c:v>
                </c:pt>
                <c:pt idx="85">
                  <c:v>1.7</c:v>
                </c:pt>
                <c:pt idx="86">
                  <c:v>1.72</c:v>
                </c:pt>
                <c:pt idx="87">
                  <c:v>1.74</c:v>
                </c:pt>
                <c:pt idx="88">
                  <c:v>1.76</c:v>
                </c:pt>
                <c:pt idx="89">
                  <c:v>1.78</c:v>
                </c:pt>
                <c:pt idx="90">
                  <c:v>1.8</c:v>
                </c:pt>
                <c:pt idx="91">
                  <c:v>1.82</c:v>
                </c:pt>
                <c:pt idx="92">
                  <c:v>1.84</c:v>
                </c:pt>
                <c:pt idx="93">
                  <c:v>1.86</c:v>
                </c:pt>
                <c:pt idx="94">
                  <c:v>1.88</c:v>
                </c:pt>
                <c:pt idx="95">
                  <c:v>1.9</c:v>
                </c:pt>
                <c:pt idx="96">
                  <c:v>1.92</c:v>
                </c:pt>
                <c:pt idx="97">
                  <c:v>1.94</c:v>
                </c:pt>
                <c:pt idx="98">
                  <c:v>1.96</c:v>
                </c:pt>
                <c:pt idx="99">
                  <c:v>1.98</c:v>
                </c:pt>
                <c:pt idx="100">
                  <c:v>2</c:v>
                </c:pt>
                <c:pt idx="101">
                  <c:v>2.02</c:v>
                </c:pt>
                <c:pt idx="102">
                  <c:v>2.04</c:v>
                </c:pt>
                <c:pt idx="103">
                  <c:v>2.06</c:v>
                </c:pt>
                <c:pt idx="104">
                  <c:v>2.08</c:v>
                </c:pt>
                <c:pt idx="105">
                  <c:v>2.1</c:v>
                </c:pt>
                <c:pt idx="106">
                  <c:v>2.12</c:v>
                </c:pt>
                <c:pt idx="107">
                  <c:v>2.14</c:v>
                </c:pt>
                <c:pt idx="108">
                  <c:v>2.16</c:v>
                </c:pt>
                <c:pt idx="109">
                  <c:v>2.18</c:v>
                </c:pt>
                <c:pt idx="110">
                  <c:v>2.2</c:v>
                </c:pt>
                <c:pt idx="111">
                  <c:v>2.22</c:v>
                </c:pt>
                <c:pt idx="112">
                  <c:v>2.24</c:v>
                </c:pt>
                <c:pt idx="113">
                  <c:v>2.26</c:v>
                </c:pt>
                <c:pt idx="114">
                  <c:v>2.28</c:v>
                </c:pt>
                <c:pt idx="115">
                  <c:v>2.3</c:v>
                </c:pt>
                <c:pt idx="116">
                  <c:v>2.32</c:v>
                </c:pt>
                <c:pt idx="117">
                  <c:v>2.34</c:v>
                </c:pt>
                <c:pt idx="118">
                  <c:v>2.36</c:v>
                </c:pt>
                <c:pt idx="119">
                  <c:v>2.38</c:v>
                </c:pt>
                <c:pt idx="120">
                  <c:v>2.4</c:v>
                </c:pt>
                <c:pt idx="121">
                  <c:v>2.42</c:v>
                </c:pt>
                <c:pt idx="122">
                  <c:v>2.44</c:v>
                </c:pt>
                <c:pt idx="123">
                  <c:v>2.46</c:v>
                </c:pt>
                <c:pt idx="124">
                  <c:v>2.48</c:v>
                </c:pt>
                <c:pt idx="125">
                  <c:v>2.5</c:v>
                </c:pt>
                <c:pt idx="126">
                  <c:v>2.52</c:v>
                </c:pt>
                <c:pt idx="127">
                  <c:v>2.54</c:v>
                </c:pt>
                <c:pt idx="128">
                  <c:v>2.56</c:v>
                </c:pt>
                <c:pt idx="129">
                  <c:v>2.58</c:v>
                </c:pt>
                <c:pt idx="130">
                  <c:v>2.6</c:v>
                </c:pt>
                <c:pt idx="131">
                  <c:v>2.62</c:v>
                </c:pt>
                <c:pt idx="132">
                  <c:v>2.64</c:v>
                </c:pt>
                <c:pt idx="133">
                  <c:v>2.66</c:v>
                </c:pt>
                <c:pt idx="134">
                  <c:v>2.68</c:v>
                </c:pt>
                <c:pt idx="135">
                  <c:v>2.7</c:v>
                </c:pt>
                <c:pt idx="136">
                  <c:v>2.72</c:v>
                </c:pt>
                <c:pt idx="137">
                  <c:v>2.74</c:v>
                </c:pt>
                <c:pt idx="138">
                  <c:v>2.76</c:v>
                </c:pt>
                <c:pt idx="139">
                  <c:v>2.78</c:v>
                </c:pt>
                <c:pt idx="140">
                  <c:v>2.8</c:v>
                </c:pt>
                <c:pt idx="141">
                  <c:v>2.82</c:v>
                </c:pt>
                <c:pt idx="142">
                  <c:v>2.84</c:v>
                </c:pt>
                <c:pt idx="143">
                  <c:v>2.86</c:v>
                </c:pt>
                <c:pt idx="144">
                  <c:v>2.88</c:v>
                </c:pt>
                <c:pt idx="145">
                  <c:v>2.9</c:v>
                </c:pt>
                <c:pt idx="146">
                  <c:v>2.92</c:v>
                </c:pt>
                <c:pt idx="147">
                  <c:v>2.94</c:v>
                </c:pt>
                <c:pt idx="148">
                  <c:v>2.96</c:v>
                </c:pt>
                <c:pt idx="149">
                  <c:v>2.98</c:v>
                </c:pt>
                <c:pt idx="150">
                  <c:v>3</c:v>
                </c:pt>
              </c:numCache>
            </c:numRef>
          </c:xVal>
          <c:yVal>
            <c:numRef>
              <c:f>Eff_vs_IOUT!$AN$7:$AN$157</c:f>
              <c:numCache>
                <c:formatCode>General</c:formatCode>
                <c:ptCount val="151"/>
                <c:pt idx="0">
                  <c:v>0</c:v>
                </c:pt>
                <c:pt idx="1">
                  <c:v>0.0065</c:v>
                </c:pt>
                <c:pt idx="2">
                  <c:v>0.013</c:v>
                </c:pt>
                <c:pt idx="3">
                  <c:v>0.0195</c:v>
                </c:pt>
                <c:pt idx="4">
                  <c:v>0.026</c:v>
                </c:pt>
                <c:pt idx="5">
                  <c:v>0.0325</c:v>
                </c:pt>
                <c:pt idx="6">
                  <c:v>0.039</c:v>
                </c:pt>
                <c:pt idx="7">
                  <c:v>0.0455</c:v>
                </c:pt>
                <c:pt idx="8">
                  <c:v>0.052</c:v>
                </c:pt>
                <c:pt idx="9">
                  <c:v>0.0585</c:v>
                </c:pt>
                <c:pt idx="10">
                  <c:v>0.065</c:v>
                </c:pt>
                <c:pt idx="11">
                  <c:v>0.0715</c:v>
                </c:pt>
                <c:pt idx="12">
                  <c:v>0.078</c:v>
                </c:pt>
                <c:pt idx="13">
                  <c:v>0.0845</c:v>
                </c:pt>
                <c:pt idx="14">
                  <c:v>0.091</c:v>
                </c:pt>
                <c:pt idx="15">
                  <c:v>0.0975</c:v>
                </c:pt>
                <c:pt idx="16">
                  <c:v>0.104</c:v>
                </c:pt>
                <c:pt idx="17">
                  <c:v>0.1105</c:v>
                </c:pt>
                <c:pt idx="18">
                  <c:v>0.117</c:v>
                </c:pt>
                <c:pt idx="19">
                  <c:v>0.1235</c:v>
                </c:pt>
                <c:pt idx="20">
                  <c:v>0.13</c:v>
                </c:pt>
                <c:pt idx="21">
                  <c:v>0.1365</c:v>
                </c:pt>
                <c:pt idx="22">
                  <c:v>0.143</c:v>
                </c:pt>
                <c:pt idx="23">
                  <c:v>0.1495</c:v>
                </c:pt>
                <c:pt idx="24">
                  <c:v>0.156</c:v>
                </c:pt>
                <c:pt idx="25">
                  <c:v>0.1625</c:v>
                </c:pt>
                <c:pt idx="26">
                  <c:v>0.169</c:v>
                </c:pt>
                <c:pt idx="27">
                  <c:v>0.1755</c:v>
                </c:pt>
                <c:pt idx="28">
                  <c:v>0.182</c:v>
                </c:pt>
                <c:pt idx="29">
                  <c:v>0.1885</c:v>
                </c:pt>
                <c:pt idx="30">
                  <c:v>0.195</c:v>
                </c:pt>
                <c:pt idx="31">
                  <c:v>0.2015</c:v>
                </c:pt>
                <c:pt idx="32">
                  <c:v>0.208</c:v>
                </c:pt>
                <c:pt idx="33">
                  <c:v>0.2145</c:v>
                </c:pt>
                <c:pt idx="34">
                  <c:v>0.221</c:v>
                </c:pt>
                <c:pt idx="35">
                  <c:v>0.2275</c:v>
                </c:pt>
                <c:pt idx="36">
                  <c:v>0.234</c:v>
                </c:pt>
                <c:pt idx="37">
                  <c:v>0.2405</c:v>
                </c:pt>
                <c:pt idx="38">
                  <c:v>0.247</c:v>
                </c:pt>
                <c:pt idx="39">
                  <c:v>0.2535</c:v>
                </c:pt>
                <c:pt idx="40">
                  <c:v>0.26</c:v>
                </c:pt>
                <c:pt idx="41">
                  <c:v>0.2665</c:v>
                </c:pt>
                <c:pt idx="42">
                  <c:v>0.273</c:v>
                </c:pt>
                <c:pt idx="43">
                  <c:v>0.2795</c:v>
                </c:pt>
                <c:pt idx="44">
                  <c:v>0.286</c:v>
                </c:pt>
                <c:pt idx="45">
                  <c:v>0.2925</c:v>
                </c:pt>
                <c:pt idx="46">
                  <c:v>0.299</c:v>
                </c:pt>
                <c:pt idx="47">
                  <c:v>0.3055</c:v>
                </c:pt>
                <c:pt idx="48">
                  <c:v>0.312</c:v>
                </c:pt>
                <c:pt idx="49">
                  <c:v>0.3185</c:v>
                </c:pt>
                <c:pt idx="50">
                  <c:v>0.325</c:v>
                </c:pt>
                <c:pt idx="51">
                  <c:v>0.3315</c:v>
                </c:pt>
                <c:pt idx="52">
                  <c:v>0.338</c:v>
                </c:pt>
                <c:pt idx="53">
                  <c:v>0.3445</c:v>
                </c:pt>
                <c:pt idx="54">
                  <c:v>0.351</c:v>
                </c:pt>
                <c:pt idx="55">
                  <c:v>0.3575</c:v>
                </c:pt>
                <c:pt idx="56">
                  <c:v>0.364</c:v>
                </c:pt>
                <c:pt idx="57">
                  <c:v>0.3705</c:v>
                </c:pt>
                <c:pt idx="58">
                  <c:v>0.377</c:v>
                </c:pt>
                <c:pt idx="59">
                  <c:v>0.3835</c:v>
                </c:pt>
                <c:pt idx="60">
                  <c:v>0.39</c:v>
                </c:pt>
                <c:pt idx="61">
                  <c:v>0.3965</c:v>
                </c:pt>
                <c:pt idx="62">
                  <c:v>0.403</c:v>
                </c:pt>
                <c:pt idx="63">
                  <c:v>0.4095</c:v>
                </c:pt>
                <c:pt idx="64">
                  <c:v>0.416</c:v>
                </c:pt>
                <c:pt idx="65">
                  <c:v>0.4225</c:v>
                </c:pt>
                <c:pt idx="66">
                  <c:v>0.429</c:v>
                </c:pt>
                <c:pt idx="67">
                  <c:v>0.4355</c:v>
                </c:pt>
                <c:pt idx="68">
                  <c:v>0.442</c:v>
                </c:pt>
                <c:pt idx="69">
                  <c:v>0.4485</c:v>
                </c:pt>
                <c:pt idx="70">
                  <c:v>0.455</c:v>
                </c:pt>
                <c:pt idx="71">
                  <c:v>0.4615</c:v>
                </c:pt>
                <c:pt idx="72">
                  <c:v>0.468</c:v>
                </c:pt>
                <c:pt idx="73">
                  <c:v>0.4745</c:v>
                </c:pt>
                <c:pt idx="74">
                  <c:v>0.481</c:v>
                </c:pt>
                <c:pt idx="75">
                  <c:v>0.4875</c:v>
                </c:pt>
                <c:pt idx="76">
                  <c:v>0.494</c:v>
                </c:pt>
                <c:pt idx="77">
                  <c:v>0.5005</c:v>
                </c:pt>
                <c:pt idx="78">
                  <c:v>0.507</c:v>
                </c:pt>
                <c:pt idx="79">
                  <c:v>0.5135</c:v>
                </c:pt>
                <c:pt idx="80">
                  <c:v>0.52</c:v>
                </c:pt>
                <c:pt idx="81">
                  <c:v>0.5265</c:v>
                </c:pt>
                <c:pt idx="82">
                  <c:v>0.533</c:v>
                </c:pt>
                <c:pt idx="83">
                  <c:v>0.5395</c:v>
                </c:pt>
                <c:pt idx="84">
                  <c:v>0.546</c:v>
                </c:pt>
                <c:pt idx="85">
                  <c:v>0.5525</c:v>
                </c:pt>
                <c:pt idx="86">
                  <c:v>0.559</c:v>
                </c:pt>
                <c:pt idx="87">
                  <c:v>0.5655</c:v>
                </c:pt>
                <c:pt idx="88">
                  <c:v>0.572</c:v>
                </c:pt>
                <c:pt idx="89">
                  <c:v>0.5785</c:v>
                </c:pt>
                <c:pt idx="90">
                  <c:v>0.585</c:v>
                </c:pt>
                <c:pt idx="91">
                  <c:v>0.5915</c:v>
                </c:pt>
                <c:pt idx="92">
                  <c:v>0.598</c:v>
                </c:pt>
                <c:pt idx="93">
                  <c:v>0.6045</c:v>
                </c:pt>
                <c:pt idx="94">
                  <c:v>0.611</c:v>
                </c:pt>
                <c:pt idx="95">
                  <c:v>0.6175</c:v>
                </c:pt>
                <c:pt idx="96">
                  <c:v>0.624</c:v>
                </c:pt>
                <c:pt idx="97">
                  <c:v>0.6305</c:v>
                </c:pt>
                <c:pt idx="98">
                  <c:v>0.637</c:v>
                </c:pt>
                <c:pt idx="99">
                  <c:v>0.6435</c:v>
                </c:pt>
                <c:pt idx="100">
                  <c:v>0.65</c:v>
                </c:pt>
                <c:pt idx="101">
                  <c:v>0.6565</c:v>
                </c:pt>
                <c:pt idx="102">
                  <c:v>0.663</c:v>
                </c:pt>
                <c:pt idx="103">
                  <c:v>0.6695</c:v>
                </c:pt>
                <c:pt idx="104">
                  <c:v>0.676</c:v>
                </c:pt>
                <c:pt idx="105">
                  <c:v>0.6825</c:v>
                </c:pt>
                <c:pt idx="106">
                  <c:v>0.689</c:v>
                </c:pt>
                <c:pt idx="107">
                  <c:v>0.6955</c:v>
                </c:pt>
                <c:pt idx="108">
                  <c:v>0.702</c:v>
                </c:pt>
                <c:pt idx="109">
                  <c:v>0.7085</c:v>
                </c:pt>
                <c:pt idx="110">
                  <c:v>0.715</c:v>
                </c:pt>
                <c:pt idx="111">
                  <c:v>0.7215</c:v>
                </c:pt>
                <c:pt idx="112">
                  <c:v>0.728</c:v>
                </c:pt>
                <c:pt idx="113">
                  <c:v>0.7345</c:v>
                </c:pt>
                <c:pt idx="114">
                  <c:v>0.741</c:v>
                </c:pt>
                <c:pt idx="115">
                  <c:v>0.7475</c:v>
                </c:pt>
                <c:pt idx="116">
                  <c:v>0.754</c:v>
                </c:pt>
                <c:pt idx="117">
                  <c:v>0.7605</c:v>
                </c:pt>
                <c:pt idx="118">
                  <c:v>0.767</c:v>
                </c:pt>
                <c:pt idx="119">
                  <c:v>0.7735</c:v>
                </c:pt>
                <c:pt idx="120">
                  <c:v>0.78</c:v>
                </c:pt>
                <c:pt idx="121">
                  <c:v>0.7865</c:v>
                </c:pt>
                <c:pt idx="122">
                  <c:v>0.793</c:v>
                </c:pt>
                <c:pt idx="123">
                  <c:v>0.7995</c:v>
                </c:pt>
                <c:pt idx="124">
                  <c:v>0.806</c:v>
                </c:pt>
                <c:pt idx="125">
                  <c:v>0.8125</c:v>
                </c:pt>
                <c:pt idx="126">
                  <c:v>0.819</c:v>
                </c:pt>
                <c:pt idx="127">
                  <c:v>0.8255</c:v>
                </c:pt>
                <c:pt idx="128">
                  <c:v>0.832</c:v>
                </c:pt>
                <c:pt idx="129">
                  <c:v>0.8385</c:v>
                </c:pt>
                <c:pt idx="130">
                  <c:v>0.845</c:v>
                </c:pt>
                <c:pt idx="131">
                  <c:v>0.8515</c:v>
                </c:pt>
                <c:pt idx="132">
                  <c:v>0.858</c:v>
                </c:pt>
                <c:pt idx="133">
                  <c:v>0.8645</c:v>
                </c:pt>
                <c:pt idx="134">
                  <c:v>0.871</c:v>
                </c:pt>
                <c:pt idx="135">
                  <c:v>0.8775</c:v>
                </c:pt>
                <c:pt idx="136">
                  <c:v>0.884</c:v>
                </c:pt>
                <c:pt idx="137">
                  <c:v>0.8905</c:v>
                </c:pt>
                <c:pt idx="138">
                  <c:v>0.897</c:v>
                </c:pt>
                <c:pt idx="139">
                  <c:v>0.9035</c:v>
                </c:pt>
                <c:pt idx="140">
                  <c:v>0.91</c:v>
                </c:pt>
                <c:pt idx="141">
                  <c:v>0.9165</c:v>
                </c:pt>
                <c:pt idx="142">
                  <c:v>0.923</c:v>
                </c:pt>
                <c:pt idx="143">
                  <c:v>0.9295</c:v>
                </c:pt>
                <c:pt idx="144">
                  <c:v>0.936</c:v>
                </c:pt>
                <c:pt idx="145">
                  <c:v>0.9425</c:v>
                </c:pt>
                <c:pt idx="146">
                  <c:v>0.949</c:v>
                </c:pt>
                <c:pt idx="147">
                  <c:v>0.9555</c:v>
                </c:pt>
                <c:pt idx="148">
                  <c:v>0.962</c:v>
                </c:pt>
                <c:pt idx="149">
                  <c:v>0.9685</c:v>
                </c:pt>
                <c:pt idx="150">
                  <c:v>0.975</c:v>
                </c:pt>
              </c:numCache>
            </c:numRef>
          </c:yVal>
          <c:smooth val="1"/>
        </c:ser>
        <c:ser>
          <c:idx val="3"/>
          <c:order val="3"/>
          <c:tx>
            <c:strRef>
              <c:f>"RCS"</c:f>
              <c:strCache>
                <c:ptCount val="1"/>
                <c:pt idx="0">
                  <c:v>RCS</c:v>
                </c:pt>
              </c:strCache>
            </c:strRef>
          </c:tx>
          <c:spPr>
            <a:ln w="28575" cap="rnd" cmpd="sng" algn="ctr">
              <a:solidFill>
                <a:schemeClr val="accent5">
                  <a:lumMod val="75000"/>
                </a:schemeClr>
              </a:solidFill>
              <a:prstDash val="lgDashDotDot"/>
              <a:round/>
            </a:ln>
          </c:spPr>
          <c:marker>
            <c:symbol val="none"/>
          </c:marker>
          <c:dLbls>
            <c:delete val="1"/>
          </c:dLbls>
          <c:xVal>
            <c:numRef>
              <c:f>Eff_vs_IOUT!$S$7:$S$157</c:f>
              <c:numCache>
                <c:formatCode>General</c:formatCode>
                <c:ptCount val="151"/>
                <c:pt idx="0">
                  <c:v>0</c:v>
                </c:pt>
                <c:pt idx="1">
                  <c:v>0.02</c:v>
                </c:pt>
                <c:pt idx="2">
                  <c:v>0.04</c:v>
                </c:pt>
                <c:pt idx="3">
                  <c:v>0.06</c:v>
                </c:pt>
                <c:pt idx="4">
                  <c:v>0.08</c:v>
                </c:pt>
                <c:pt idx="5">
                  <c:v>0.1</c:v>
                </c:pt>
                <c:pt idx="6">
                  <c:v>0.12</c:v>
                </c:pt>
                <c:pt idx="7">
                  <c:v>0.14</c:v>
                </c:pt>
                <c:pt idx="8">
                  <c:v>0.16</c:v>
                </c:pt>
                <c:pt idx="9">
                  <c:v>0.18</c:v>
                </c:pt>
                <c:pt idx="10">
                  <c:v>0.2</c:v>
                </c:pt>
                <c:pt idx="11">
                  <c:v>0.22</c:v>
                </c:pt>
                <c:pt idx="12">
                  <c:v>0.24</c:v>
                </c:pt>
                <c:pt idx="13">
                  <c:v>0.26</c:v>
                </c:pt>
                <c:pt idx="14">
                  <c:v>0.28</c:v>
                </c:pt>
                <c:pt idx="15">
                  <c:v>0.3</c:v>
                </c:pt>
                <c:pt idx="16">
                  <c:v>0.32</c:v>
                </c:pt>
                <c:pt idx="17">
                  <c:v>0.34</c:v>
                </c:pt>
                <c:pt idx="18">
                  <c:v>0.36</c:v>
                </c:pt>
                <c:pt idx="19">
                  <c:v>0.38</c:v>
                </c:pt>
                <c:pt idx="20">
                  <c:v>0.4</c:v>
                </c:pt>
                <c:pt idx="21">
                  <c:v>0.42</c:v>
                </c:pt>
                <c:pt idx="22">
                  <c:v>0.44</c:v>
                </c:pt>
                <c:pt idx="23">
                  <c:v>0.46</c:v>
                </c:pt>
                <c:pt idx="24">
                  <c:v>0.48</c:v>
                </c:pt>
                <c:pt idx="25">
                  <c:v>0.5</c:v>
                </c:pt>
                <c:pt idx="26">
                  <c:v>0.52</c:v>
                </c:pt>
                <c:pt idx="27">
                  <c:v>0.54</c:v>
                </c:pt>
                <c:pt idx="28">
                  <c:v>0.56</c:v>
                </c:pt>
                <c:pt idx="29">
                  <c:v>0.58</c:v>
                </c:pt>
                <c:pt idx="30">
                  <c:v>0.6</c:v>
                </c:pt>
                <c:pt idx="31">
                  <c:v>0.62</c:v>
                </c:pt>
                <c:pt idx="32">
                  <c:v>0.64</c:v>
                </c:pt>
                <c:pt idx="33">
                  <c:v>0.66</c:v>
                </c:pt>
                <c:pt idx="34">
                  <c:v>0.68</c:v>
                </c:pt>
                <c:pt idx="35">
                  <c:v>0.7</c:v>
                </c:pt>
                <c:pt idx="36">
                  <c:v>0.72</c:v>
                </c:pt>
                <c:pt idx="37">
                  <c:v>0.74</c:v>
                </c:pt>
                <c:pt idx="38">
                  <c:v>0.76</c:v>
                </c:pt>
                <c:pt idx="39">
                  <c:v>0.78</c:v>
                </c:pt>
                <c:pt idx="40">
                  <c:v>0.8</c:v>
                </c:pt>
                <c:pt idx="41">
                  <c:v>0.82</c:v>
                </c:pt>
                <c:pt idx="42">
                  <c:v>0.84</c:v>
                </c:pt>
                <c:pt idx="43">
                  <c:v>0.86</c:v>
                </c:pt>
                <c:pt idx="44">
                  <c:v>0.88</c:v>
                </c:pt>
                <c:pt idx="45">
                  <c:v>0.9</c:v>
                </c:pt>
                <c:pt idx="46">
                  <c:v>0.92</c:v>
                </c:pt>
                <c:pt idx="47">
                  <c:v>0.94</c:v>
                </c:pt>
                <c:pt idx="48">
                  <c:v>0.96</c:v>
                </c:pt>
                <c:pt idx="49">
                  <c:v>0.98</c:v>
                </c:pt>
                <c:pt idx="50">
                  <c:v>1</c:v>
                </c:pt>
                <c:pt idx="51">
                  <c:v>1.02</c:v>
                </c:pt>
                <c:pt idx="52">
                  <c:v>1.04</c:v>
                </c:pt>
                <c:pt idx="53">
                  <c:v>1.06</c:v>
                </c:pt>
                <c:pt idx="54">
                  <c:v>1.08</c:v>
                </c:pt>
                <c:pt idx="55">
                  <c:v>1.1</c:v>
                </c:pt>
                <c:pt idx="56">
                  <c:v>1.12</c:v>
                </c:pt>
                <c:pt idx="57">
                  <c:v>1.14</c:v>
                </c:pt>
                <c:pt idx="58">
                  <c:v>1.16</c:v>
                </c:pt>
                <c:pt idx="59">
                  <c:v>1.18</c:v>
                </c:pt>
                <c:pt idx="60">
                  <c:v>1.2</c:v>
                </c:pt>
                <c:pt idx="61">
                  <c:v>1.22</c:v>
                </c:pt>
                <c:pt idx="62">
                  <c:v>1.24</c:v>
                </c:pt>
                <c:pt idx="63">
                  <c:v>1.26</c:v>
                </c:pt>
                <c:pt idx="64">
                  <c:v>1.28</c:v>
                </c:pt>
                <c:pt idx="65">
                  <c:v>1.3</c:v>
                </c:pt>
                <c:pt idx="66">
                  <c:v>1.32</c:v>
                </c:pt>
                <c:pt idx="67">
                  <c:v>1.34</c:v>
                </c:pt>
                <c:pt idx="68">
                  <c:v>1.36</c:v>
                </c:pt>
                <c:pt idx="69">
                  <c:v>1.38</c:v>
                </c:pt>
                <c:pt idx="70">
                  <c:v>1.4</c:v>
                </c:pt>
                <c:pt idx="71">
                  <c:v>1.42</c:v>
                </c:pt>
                <c:pt idx="72">
                  <c:v>1.44</c:v>
                </c:pt>
                <c:pt idx="73">
                  <c:v>1.46</c:v>
                </c:pt>
                <c:pt idx="74">
                  <c:v>1.48</c:v>
                </c:pt>
                <c:pt idx="75">
                  <c:v>1.5</c:v>
                </c:pt>
                <c:pt idx="76">
                  <c:v>1.52</c:v>
                </c:pt>
                <c:pt idx="77">
                  <c:v>1.54</c:v>
                </c:pt>
                <c:pt idx="78">
                  <c:v>1.56</c:v>
                </c:pt>
                <c:pt idx="79">
                  <c:v>1.58</c:v>
                </c:pt>
                <c:pt idx="80">
                  <c:v>1.6</c:v>
                </c:pt>
                <c:pt idx="81">
                  <c:v>1.62</c:v>
                </c:pt>
                <c:pt idx="82">
                  <c:v>1.64</c:v>
                </c:pt>
                <c:pt idx="83">
                  <c:v>1.66</c:v>
                </c:pt>
                <c:pt idx="84">
                  <c:v>1.68</c:v>
                </c:pt>
                <c:pt idx="85">
                  <c:v>1.7</c:v>
                </c:pt>
                <c:pt idx="86">
                  <c:v>1.72</c:v>
                </c:pt>
                <c:pt idx="87">
                  <c:v>1.74</c:v>
                </c:pt>
                <c:pt idx="88">
                  <c:v>1.76</c:v>
                </c:pt>
                <c:pt idx="89">
                  <c:v>1.78</c:v>
                </c:pt>
                <c:pt idx="90">
                  <c:v>1.8</c:v>
                </c:pt>
                <c:pt idx="91">
                  <c:v>1.82</c:v>
                </c:pt>
                <c:pt idx="92">
                  <c:v>1.84</c:v>
                </c:pt>
                <c:pt idx="93">
                  <c:v>1.86</c:v>
                </c:pt>
                <c:pt idx="94">
                  <c:v>1.88</c:v>
                </c:pt>
                <c:pt idx="95">
                  <c:v>1.9</c:v>
                </c:pt>
                <c:pt idx="96">
                  <c:v>1.92</c:v>
                </c:pt>
                <c:pt idx="97">
                  <c:v>1.94</c:v>
                </c:pt>
                <c:pt idx="98">
                  <c:v>1.96</c:v>
                </c:pt>
                <c:pt idx="99">
                  <c:v>1.98</c:v>
                </c:pt>
                <c:pt idx="100">
                  <c:v>2</c:v>
                </c:pt>
                <c:pt idx="101">
                  <c:v>2.02</c:v>
                </c:pt>
                <c:pt idx="102">
                  <c:v>2.04</c:v>
                </c:pt>
                <c:pt idx="103">
                  <c:v>2.06</c:v>
                </c:pt>
                <c:pt idx="104">
                  <c:v>2.08</c:v>
                </c:pt>
                <c:pt idx="105">
                  <c:v>2.1</c:v>
                </c:pt>
                <c:pt idx="106">
                  <c:v>2.12</c:v>
                </c:pt>
                <c:pt idx="107">
                  <c:v>2.14</c:v>
                </c:pt>
                <c:pt idx="108">
                  <c:v>2.16</c:v>
                </c:pt>
                <c:pt idx="109">
                  <c:v>2.18</c:v>
                </c:pt>
                <c:pt idx="110">
                  <c:v>2.2</c:v>
                </c:pt>
                <c:pt idx="111">
                  <c:v>2.22</c:v>
                </c:pt>
                <c:pt idx="112">
                  <c:v>2.24</c:v>
                </c:pt>
                <c:pt idx="113">
                  <c:v>2.26</c:v>
                </c:pt>
                <c:pt idx="114">
                  <c:v>2.28</c:v>
                </c:pt>
                <c:pt idx="115">
                  <c:v>2.3</c:v>
                </c:pt>
                <c:pt idx="116">
                  <c:v>2.32</c:v>
                </c:pt>
                <c:pt idx="117">
                  <c:v>2.34</c:v>
                </c:pt>
                <c:pt idx="118">
                  <c:v>2.36</c:v>
                </c:pt>
                <c:pt idx="119">
                  <c:v>2.38</c:v>
                </c:pt>
                <c:pt idx="120">
                  <c:v>2.4</c:v>
                </c:pt>
                <c:pt idx="121">
                  <c:v>2.42</c:v>
                </c:pt>
                <c:pt idx="122">
                  <c:v>2.44</c:v>
                </c:pt>
                <c:pt idx="123">
                  <c:v>2.46</c:v>
                </c:pt>
                <c:pt idx="124">
                  <c:v>2.48</c:v>
                </c:pt>
                <c:pt idx="125">
                  <c:v>2.5</c:v>
                </c:pt>
                <c:pt idx="126">
                  <c:v>2.52</c:v>
                </c:pt>
                <c:pt idx="127">
                  <c:v>2.54</c:v>
                </c:pt>
                <c:pt idx="128">
                  <c:v>2.56</c:v>
                </c:pt>
                <c:pt idx="129">
                  <c:v>2.58</c:v>
                </c:pt>
                <c:pt idx="130">
                  <c:v>2.6</c:v>
                </c:pt>
                <c:pt idx="131">
                  <c:v>2.62</c:v>
                </c:pt>
                <c:pt idx="132">
                  <c:v>2.64</c:v>
                </c:pt>
                <c:pt idx="133">
                  <c:v>2.66</c:v>
                </c:pt>
                <c:pt idx="134">
                  <c:v>2.68</c:v>
                </c:pt>
                <c:pt idx="135">
                  <c:v>2.7</c:v>
                </c:pt>
                <c:pt idx="136">
                  <c:v>2.72</c:v>
                </c:pt>
                <c:pt idx="137">
                  <c:v>2.74</c:v>
                </c:pt>
                <c:pt idx="138">
                  <c:v>2.76</c:v>
                </c:pt>
                <c:pt idx="139">
                  <c:v>2.78</c:v>
                </c:pt>
                <c:pt idx="140">
                  <c:v>2.8</c:v>
                </c:pt>
                <c:pt idx="141">
                  <c:v>2.82</c:v>
                </c:pt>
                <c:pt idx="142">
                  <c:v>2.84</c:v>
                </c:pt>
                <c:pt idx="143">
                  <c:v>2.86</c:v>
                </c:pt>
                <c:pt idx="144">
                  <c:v>2.88</c:v>
                </c:pt>
                <c:pt idx="145">
                  <c:v>2.9</c:v>
                </c:pt>
                <c:pt idx="146">
                  <c:v>2.92</c:v>
                </c:pt>
                <c:pt idx="147">
                  <c:v>2.94</c:v>
                </c:pt>
                <c:pt idx="148">
                  <c:v>2.96</c:v>
                </c:pt>
                <c:pt idx="149">
                  <c:v>2.98</c:v>
                </c:pt>
                <c:pt idx="150">
                  <c:v>3</c:v>
                </c:pt>
              </c:numCache>
            </c:numRef>
          </c:xVal>
          <c:yVal>
            <c:numRef>
              <c:f>Eff_vs_IOUT!$AO$7:$AO$157</c:f>
              <c:numCache>
                <c:formatCode>General</c:formatCode>
                <c:ptCount val="151"/>
                <c:pt idx="0">
                  <c:v>0</c:v>
                </c:pt>
                <c:pt idx="1">
                  <c:v>0.00052590085424733</c:v>
                </c:pt>
                <c:pt idx="2">
                  <c:v>0.00058896447467876</c:v>
                </c:pt>
                <c:pt idx="3">
                  <c:v>0.00108896447467876</c:v>
                </c:pt>
                <c:pt idx="4">
                  <c:v>0.00178896447467876</c:v>
                </c:pt>
                <c:pt idx="5">
                  <c:v>0.00268896447467876</c:v>
                </c:pt>
                <c:pt idx="6">
                  <c:v>0.00378896447467876</c:v>
                </c:pt>
                <c:pt idx="7">
                  <c:v>0.00508896447467876</c:v>
                </c:pt>
                <c:pt idx="8">
                  <c:v>0.00658896447467876</c:v>
                </c:pt>
                <c:pt idx="9">
                  <c:v>0.00828896447467876</c:v>
                </c:pt>
                <c:pt idx="10">
                  <c:v>0.0101889644746788</c:v>
                </c:pt>
                <c:pt idx="11">
                  <c:v>0.0122889644746788</c:v>
                </c:pt>
                <c:pt idx="12">
                  <c:v>0.0145889644746788</c:v>
                </c:pt>
                <c:pt idx="13">
                  <c:v>0.0170889644746788</c:v>
                </c:pt>
                <c:pt idx="14">
                  <c:v>0.0197889644746788</c:v>
                </c:pt>
                <c:pt idx="15">
                  <c:v>0.0226889644746788</c:v>
                </c:pt>
                <c:pt idx="16">
                  <c:v>0.0257889644746788</c:v>
                </c:pt>
                <c:pt idx="17">
                  <c:v>0.0290889644746788</c:v>
                </c:pt>
                <c:pt idx="18">
                  <c:v>0.0325889644746788</c:v>
                </c:pt>
                <c:pt idx="19">
                  <c:v>0.0362889644746788</c:v>
                </c:pt>
                <c:pt idx="20">
                  <c:v>0.0401889644746788</c:v>
                </c:pt>
                <c:pt idx="21">
                  <c:v>0.0442889644746788</c:v>
                </c:pt>
                <c:pt idx="22">
                  <c:v>0.0485889644746788</c:v>
                </c:pt>
                <c:pt idx="23">
                  <c:v>0.0530889644746788</c:v>
                </c:pt>
                <c:pt idx="24">
                  <c:v>0.0577889644746788</c:v>
                </c:pt>
                <c:pt idx="25">
                  <c:v>0.0626889644746788</c:v>
                </c:pt>
                <c:pt idx="26">
                  <c:v>0.0677889644746788</c:v>
                </c:pt>
                <c:pt idx="27">
                  <c:v>0.0730889644746788</c:v>
                </c:pt>
                <c:pt idx="28">
                  <c:v>0.0785889644746788</c:v>
                </c:pt>
                <c:pt idx="29">
                  <c:v>0.0842889644746788</c:v>
                </c:pt>
                <c:pt idx="30">
                  <c:v>0.0901889644746788</c:v>
                </c:pt>
                <c:pt idx="31">
                  <c:v>0.0962889644746788</c:v>
                </c:pt>
                <c:pt idx="32">
                  <c:v>0.102588964474679</c:v>
                </c:pt>
                <c:pt idx="33">
                  <c:v>0.109088964474679</c:v>
                </c:pt>
                <c:pt idx="34">
                  <c:v>0.115788964474679</c:v>
                </c:pt>
                <c:pt idx="35">
                  <c:v>0.122688964474679</c:v>
                </c:pt>
                <c:pt idx="36">
                  <c:v>0.129788964474679</c:v>
                </c:pt>
                <c:pt idx="37">
                  <c:v>0.137088964474679</c:v>
                </c:pt>
                <c:pt idx="38">
                  <c:v>0.144588964474679</c:v>
                </c:pt>
                <c:pt idx="39">
                  <c:v>0.152288964474679</c:v>
                </c:pt>
                <c:pt idx="40">
                  <c:v>0.160188964474679</c:v>
                </c:pt>
                <c:pt idx="41">
                  <c:v>0.168288964474679</c:v>
                </c:pt>
                <c:pt idx="42">
                  <c:v>0.176588964474679</c:v>
                </c:pt>
                <c:pt idx="43">
                  <c:v>0.185088964474679</c:v>
                </c:pt>
                <c:pt idx="44">
                  <c:v>0.193788964474679</c:v>
                </c:pt>
                <c:pt idx="45">
                  <c:v>0.202688964474679</c:v>
                </c:pt>
                <c:pt idx="46">
                  <c:v>0.211788964474679</c:v>
                </c:pt>
                <c:pt idx="47">
                  <c:v>0.221088964474679</c:v>
                </c:pt>
                <c:pt idx="48">
                  <c:v>0.230588964474679</c:v>
                </c:pt>
                <c:pt idx="49">
                  <c:v>0.240288964474679</c:v>
                </c:pt>
                <c:pt idx="50">
                  <c:v>0.250188964474679</c:v>
                </c:pt>
                <c:pt idx="51">
                  <c:v>0.260288964474679</c:v>
                </c:pt>
                <c:pt idx="52">
                  <c:v>0.270588964474679</c:v>
                </c:pt>
                <c:pt idx="53">
                  <c:v>0.281088964474679</c:v>
                </c:pt>
                <c:pt idx="54">
                  <c:v>0.291788964474679</c:v>
                </c:pt>
                <c:pt idx="55">
                  <c:v>0.302688964474679</c:v>
                </c:pt>
                <c:pt idx="56">
                  <c:v>0.313788964474679</c:v>
                </c:pt>
                <c:pt idx="57">
                  <c:v>0.325088964474679</c:v>
                </c:pt>
                <c:pt idx="58">
                  <c:v>0.336588964474679</c:v>
                </c:pt>
                <c:pt idx="59">
                  <c:v>0.348288964474679</c:v>
                </c:pt>
                <c:pt idx="60">
                  <c:v>0.360188964474679</c:v>
                </c:pt>
                <c:pt idx="61">
                  <c:v>0.372288964474679</c:v>
                </c:pt>
                <c:pt idx="62">
                  <c:v>0.384588964474679</c:v>
                </c:pt>
                <c:pt idx="63">
                  <c:v>0.397088964474679</c:v>
                </c:pt>
                <c:pt idx="64">
                  <c:v>0.409788964474679</c:v>
                </c:pt>
                <c:pt idx="65">
                  <c:v>0.422688964474679</c:v>
                </c:pt>
                <c:pt idx="66">
                  <c:v>0.435788964474679</c:v>
                </c:pt>
                <c:pt idx="67">
                  <c:v>0.449088964474679</c:v>
                </c:pt>
                <c:pt idx="68">
                  <c:v>0.462588964474679</c:v>
                </c:pt>
                <c:pt idx="69">
                  <c:v>0.476288964474679</c:v>
                </c:pt>
                <c:pt idx="70">
                  <c:v>0.490188964474679</c:v>
                </c:pt>
                <c:pt idx="71">
                  <c:v>0.504288964474679</c:v>
                </c:pt>
                <c:pt idx="72">
                  <c:v>0.518588964474679</c:v>
                </c:pt>
                <c:pt idx="73">
                  <c:v>0.533088964474679</c:v>
                </c:pt>
                <c:pt idx="74">
                  <c:v>0.547788964474679</c:v>
                </c:pt>
                <c:pt idx="75">
                  <c:v>0.562688964474679</c:v>
                </c:pt>
                <c:pt idx="76">
                  <c:v>0.577788964474679</c:v>
                </c:pt>
                <c:pt idx="77">
                  <c:v>0.593088964474679</c:v>
                </c:pt>
                <c:pt idx="78">
                  <c:v>0.608588964474679</c:v>
                </c:pt>
                <c:pt idx="79">
                  <c:v>0.624288964474679</c:v>
                </c:pt>
                <c:pt idx="80">
                  <c:v>0.640188964474679</c:v>
                </c:pt>
                <c:pt idx="81">
                  <c:v>0.656288964474679</c:v>
                </c:pt>
                <c:pt idx="82">
                  <c:v>0.672588964474679</c:v>
                </c:pt>
                <c:pt idx="83">
                  <c:v>0.689088964474679</c:v>
                </c:pt>
                <c:pt idx="84">
                  <c:v>0.705788964474679</c:v>
                </c:pt>
                <c:pt idx="85">
                  <c:v>0.722688964474679</c:v>
                </c:pt>
                <c:pt idx="86">
                  <c:v>0.739788964474679</c:v>
                </c:pt>
                <c:pt idx="87">
                  <c:v>0.757088964474679</c:v>
                </c:pt>
                <c:pt idx="88">
                  <c:v>0.774588964474679</c:v>
                </c:pt>
                <c:pt idx="89">
                  <c:v>0.792288964474679</c:v>
                </c:pt>
                <c:pt idx="90">
                  <c:v>0.810188964474679</c:v>
                </c:pt>
                <c:pt idx="91">
                  <c:v>0.828288964474679</c:v>
                </c:pt>
                <c:pt idx="92">
                  <c:v>0.846588964474679</c:v>
                </c:pt>
                <c:pt idx="93">
                  <c:v>0.865088964474679</c:v>
                </c:pt>
                <c:pt idx="94">
                  <c:v>0.883788964474679</c:v>
                </c:pt>
                <c:pt idx="95">
                  <c:v>0.902688964474679</c:v>
                </c:pt>
                <c:pt idx="96">
                  <c:v>0.921788964474679</c:v>
                </c:pt>
                <c:pt idx="97">
                  <c:v>0.941088964474679</c:v>
                </c:pt>
                <c:pt idx="98">
                  <c:v>0.960588964474679</c:v>
                </c:pt>
                <c:pt idx="99">
                  <c:v>0.980288964474679</c:v>
                </c:pt>
                <c:pt idx="100">
                  <c:v>1.00018896447468</c:v>
                </c:pt>
                <c:pt idx="101">
                  <c:v>1.02028896447468</c:v>
                </c:pt>
                <c:pt idx="102">
                  <c:v>1.04058896447468</c:v>
                </c:pt>
                <c:pt idx="103">
                  <c:v>1.06108896447468</c:v>
                </c:pt>
                <c:pt idx="104">
                  <c:v>1.08178896447468</c:v>
                </c:pt>
                <c:pt idx="105">
                  <c:v>1.10268896447468</c:v>
                </c:pt>
                <c:pt idx="106">
                  <c:v>1.12378896447468</c:v>
                </c:pt>
                <c:pt idx="107">
                  <c:v>1.14508896447468</c:v>
                </c:pt>
                <c:pt idx="108">
                  <c:v>1.16658896447468</c:v>
                </c:pt>
                <c:pt idx="109">
                  <c:v>1.18828896447468</c:v>
                </c:pt>
                <c:pt idx="110">
                  <c:v>1.21018896447468</c:v>
                </c:pt>
                <c:pt idx="111">
                  <c:v>1.23228896447468</c:v>
                </c:pt>
                <c:pt idx="112">
                  <c:v>1.25458896447468</c:v>
                </c:pt>
                <c:pt idx="113">
                  <c:v>1.27708896447468</c:v>
                </c:pt>
                <c:pt idx="114">
                  <c:v>1.29978896447468</c:v>
                </c:pt>
                <c:pt idx="115">
                  <c:v>1.32268896447468</c:v>
                </c:pt>
                <c:pt idx="116">
                  <c:v>1.34578896447468</c:v>
                </c:pt>
                <c:pt idx="117">
                  <c:v>1.36908896447468</c:v>
                </c:pt>
                <c:pt idx="118">
                  <c:v>1.39258896447468</c:v>
                </c:pt>
                <c:pt idx="119">
                  <c:v>1.41628896447468</c:v>
                </c:pt>
                <c:pt idx="120">
                  <c:v>1.44018896447468</c:v>
                </c:pt>
                <c:pt idx="121">
                  <c:v>1.46428896447468</c:v>
                </c:pt>
                <c:pt idx="122">
                  <c:v>1.48858896447468</c:v>
                </c:pt>
                <c:pt idx="123">
                  <c:v>1.51308896447468</c:v>
                </c:pt>
                <c:pt idx="124">
                  <c:v>1.53778896447468</c:v>
                </c:pt>
                <c:pt idx="125">
                  <c:v>1.56268896447468</c:v>
                </c:pt>
                <c:pt idx="126">
                  <c:v>1.58778896447468</c:v>
                </c:pt>
                <c:pt idx="127">
                  <c:v>1.61308896447468</c:v>
                </c:pt>
                <c:pt idx="128">
                  <c:v>1.63858896447468</c:v>
                </c:pt>
                <c:pt idx="129">
                  <c:v>1.66428896447468</c:v>
                </c:pt>
                <c:pt idx="130">
                  <c:v>1.69018896447468</c:v>
                </c:pt>
                <c:pt idx="131">
                  <c:v>1.71628896447468</c:v>
                </c:pt>
                <c:pt idx="132">
                  <c:v>1.74258896447468</c:v>
                </c:pt>
                <c:pt idx="133">
                  <c:v>1.76908896447468</c:v>
                </c:pt>
                <c:pt idx="134">
                  <c:v>1.79578896447468</c:v>
                </c:pt>
                <c:pt idx="135">
                  <c:v>1.82268896447468</c:v>
                </c:pt>
                <c:pt idx="136">
                  <c:v>1.84978896447468</c:v>
                </c:pt>
                <c:pt idx="137">
                  <c:v>1.87708896447468</c:v>
                </c:pt>
                <c:pt idx="138">
                  <c:v>1.90458896447468</c:v>
                </c:pt>
                <c:pt idx="139">
                  <c:v>1.93228896447468</c:v>
                </c:pt>
                <c:pt idx="140">
                  <c:v>1.96018896447468</c:v>
                </c:pt>
                <c:pt idx="141">
                  <c:v>1.98828896447468</c:v>
                </c:pt>
                <c:pt idx="142">
                  <c:v>2.01658896447468</c:v>
                </c:pt>
                <c:pt idx="143">
                  <c:v>2.04508896447468</c:v>
                </c:pt>
                <c:pt idx="144">
                  <c:v>2.07378896447468</c:v>
                </c:pt>
                <c:pt idx="145">
                  <c:v>2.10268896447468</c:v>
                </c:pt>
                <c:pt idx="146">
                  <c:v>2.13178896447468</c:v>
                </c:pt>
                <c:pt idx="147">
                  <c:v>2.16108896447468</c:v>
                </c:pt>
                <c:pt idx="148">
                  <c:v>2.19058896447468</c:v>
                </c:pt>
                <c:pt idx="149">
                  <c:v>2.22028896447468</c:v>
                </c:pt>
                <c:pt idx="150">
                  <c:v>2.25018896447468</c:v>
                </c:pt>
              </c:numCache>
            </c:numRef>
          </c:yVal>
          <c:smooth val="1"/>
        </c:ser>
        <c:dLbls>
          <c:showLegendKey val="0"/>
          <c:showVal val="0"/>
          <c:showCatName val="0"/>
          <c:showSerName val="0"/>
          <c:showPercent val="0"/>
          <c:showBubbleSize val="0"/>
        </c:dLbls>
        <c:axId val="178635520"/>
        <c:axId val="178616960"/>
      </c:scatterChart>
      <c:valAx>
        <c:axId val="178605056"/>
        <c:scaling>
          <c:orientation val="minMax"/>
        </c:scaling>
        <c:delete val="0"/>
        <c:axPos val="b"/>
        <c:majorGridlines/>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615040"/>
        <c:crosses val="autoZero"/>
        <c:crossBetween val="midCat"/>
      </c:valAx>
      <c:valAx>
        <c:axId val="178615040"/>
        <c:scaling>
          <c:orientation val="minMax"/>
          <c:max val="100"/>
          <c:min val="60"/>
        </c:scaling>
        <c:delete val="0"/>
        <c:axPos val="l"/>
        <c:majorGridlines/>
        <c:title>
          <c:tx>
            <c:rich>
              <a:bodyPr rot="-5400000" spcFirstLastPara="0" vertOverflow="ellipsis" vert="horz" wrap="square" anchor="ctr" anchorCtr="1"/>
              <a:lstStyle/>
              <a:p>
                <a:pPr>
                  <a:defRPr lang="pl-PL" sz="1400" b="1" i="0" u="none" strike="noStrike" kern="1200" baseline="0">
                    <a:solidFill>
                      <a:schemeClr val="tx1"/>
                    </a:solidFill>
                    <a:latin typeface="+mn-lt"/>
                    <a:ea typeface="+mn-ea"/>
                    <a:cs typeface="+mn-cs"/>
                  </a:defRPr>
                </a:pPr>
                <a:r>
                  <a:rPr lang="en-US" sz="1400"/>
                  <a:t>Efficiency</a:t>
                </a:r>
                <a:r>
                  <a:rPr lang="en-US" sz="1400" baseline="0"/>
                  <a:t> (%)</a:t>
                </a:r>
                <a:endParaRPr lang="en-US" sz="1400"/>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605056"/>
        <c:crosses val="autoZero"/>
        <c:crossBetween val="midCat"/>
      </c:valAx>
      <c:valAx>
        <c:axId val="178635520"/>
        <c:scaling>
          <c:orientation val="minMax"/>
        </c:scaling>
        <c:delete val="1"/>
        <c:axPos val="b"/>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Loac</a:t>
                </a:r>
                <a:r>
                  <a:rPr lang="en-US" baseline="0"/>
                  <a:t> Current (A)</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616960"/>
        <c:crosses val="autoZero"/>
        <c:crossBetween val="midCat"/>
      </c:valAx>
      <c:valAx>
        <c:axId val="178616960"/>
        <c:scaling>
          <c:orientation val="minMax"/>
        </c:scaling>
        <c:delete val="0"/>
        <c:axPos val="r"/>
        <c:title>
          <c:tx>
            <c:rich>
              <a:bodyPr rot="-5400000" spcFirstLastPara="0" vertOverflow="ellipsis" vert="horz" wrap="square" anchor="ctr" anchorCtr="1"/>
              <a:lstStyle/>
              <a:p>
                <a:pPr>
                  <a:defRPr lang="pl-PL" sz="1400" b="1" i="0" u="none" strike="noStrike" kern="1200" baseline="0">
                    <a:solidFill>
                      <a:schemeClr val="tx1"/>
                    </a:solidFill>
                    <a:latin typeface="+mn-lt"/>
                    <a:ea typeface="+mn-ea"/>
                    <a:cs typeface="+mn-cs"/>
                  </a:defRPr>
                </a:pPr>
                <a:r>
                  <a:rPr lang="en-US" sz="1400"/>
                  <a:t>Losses</a:t>
                </a:r>
                <a:r>
                  <a:rPr lang="en-US" sz="1400" baseline="0"/>
                  <a:t> (W)</a:t>
                </a:r>
                <a:endParaRPr lang="en-US" sz="1400"/>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635520"/>
        <c:crosses val="max"/>
        <c:crossBetween val="midCat"/>
      </c:valAx>
    </c:plotArea>
    <c:legend>
      <c:legendPos val="r"/>
      <c:layout>
        <c:manualLayout>
          <c:xMode val="edge"/>
          <c:yMode val="edge"/>
          <c:x val="0.518944039261904"/>
          <c:y val="0.00648622047244094"/>
          <c:w val="0.396095729357041"/>
          <c:h val="0.121836530997006"/>
        </c:manualLayout>
      </c:layout>
      <c:overlay val="1"/>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1d3f89-6278-44e1-9e6e-868c9937126f}"/>
      </c:ext>
    </c:extLst>
  </c:chart>
  <c:spPr>
    <a:ln w="9525" cap="flat" cmpd="sng" algn="ctr">
      <a:noFill/>
      <a:prstDash val="solid"/>
      <a:round/>
    </a:ln>
  </c:spPr>
  <c:txPr>
    <a:bodyPr/>
    <a:lstStyle/>
    <a:p>
      <a:pPr>
        <a:defRPr lang="pl-PL"/>
      </a:pPr>
    </a:p>
  </c:txPr>
  <c:printSettings>
    <c:headerFooter/>
    <c:pageMargins b="0.75" l="0.7" r="0.7" t="0.75" header="0.3" footer="0.3"/>
    <c:pageSetup/>
  </c:printSettings>
</c:chartSpace>
</file>

<file path=xl/ctrlProps/ctrlProp1.xml><?xml version="1.0" encoding="utf-8"?>
<formControlPr xmlns="http://schemas.microsoft.com/office/spreadsheetml/2009/9/main" objectType="Spin" dx="20" fmlaLink="Loop_Modeling!$B$16" max="60" noThreeD="1" page="10" val="4"/>
</file>

<file path=xl/drawings/_rels/drawing1.xml.rels><?xml version="1.0" encoding="UTF-8" standalone="yes"?>
<Relationships xmlns="http://schemas.openxmlformats.org/package/2006/relationships"><Relationship Id="rId3" Type="http://schemas.openxmlformats.org/officeDocument/2006/relationships/image" Target="../media/image1.jpeg"/><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hyperlink" Target="http://www.ti.com/corp/docs/legal/copyright.shtml" TargetMode="External"/><Relationship Id="rId2" Type="http://schemas.openxmlformats.org/officeDocument/2006/relationships/image" Target="../media/image2.GIF"/><Relationship Id="rId1" Type="http://schemas.openxmlformats.org/officeDocument/2006/relationships/hyperlink" Target="http://www.ti.com" TargetMode="Externa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8" Type="http://schemas.openxmlformats.org/officeDocument/2006/relationships/image" Target="../media/image4.png"/><Relationship Id="rId7" Type="http://schemas.openxmlformats.org/officeDocument/2006/relationships/image" Target="../media/image3.png"/><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image" Target="../media/image5.jpe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9</xdr:col>
      <xdr:colOff>22860</xdr:colOff>
      <xdr:row>52</xdr:row>
      <xdr:rowOff>1</xdr:rowOff>
    </xdr:from>
    <xdr:to>
      <xdr:col>25</xdr:col>
      <xdr:colOff>598714</xdr:colOff>
      <xdr:row>73</xdr:row>
      <xdr:rowOff>175261</xdr:rowOff>
    </xdr:to>
    <xdr:graphicFrame>
      <xdr:nvGraphicFramePr>
        <xdr:cNvPr id="2" name="Chart 1"/>
        <xdr:cNvGraphicFramePr/>
      </xdr:nvGraphicFramePr>
      <xdr:xfrm>
        <a:off x="5233035" y="11289665"/>
        <a:ext cx="9635490" cy="460438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22861</xdr:colOff>
      <xdr:row>76</xdr:row>
      <xdr:rowOff>7620</xdr:rowOff>
    </xdr:from>
    <xdr:to>
      <xdr:col>25</xdr:col>
      <xdr:colOff>600637</xdr:colOff>
      <xdr:row>100</xdr:row>
      <xdr:rowOff>163286</xdr:rowOff>
    </xdr:to>
    <xdr:graphicFrame>
      <xdr:nvGraphicFramePr>
        <xdr:cNvPr id="6" name="Chart 5"/>
        <xdr:cNvGraphicFramePr/>
      </xdr:nvGraphicFramePr>
      <xdr:xfrm>
        <a:off x="5233035" y="16402685"/>
        <a:ext cx="9635490" cy="49942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mc:AlternateContent xmlns:mc="http://schemas.openxmlformats.org/markup-compatibility/2006">
    <mc:Choice xmlns:a14="http://schemas.microsoft.com/office/drawing/2010/main" Requires="a14">
      <xdr:twoCellAnchor>
        <xdr:from>
          <xdr:col>7</xdr:col>
          <xdr:colOff>752474</xdr:colOff>
          <xdr:row>58</xdr:row>
          <xdr:rowOff>0</xdr:rowOff>
        </xdr:from>
        <xdr:to>
          <xdr:col>8</xdr:col>
          <xdr:colOff>269327</xdr:colOff>
          <xdr:row>60</xdr:row>
          <xdr:rowOff>0</xdr:rowOff>
        </xdr:to>
        <xdr:sp>
          <xdr:nvSpPr>
            <xdr:cNvPr id="1060" name="Spinner 36" hidden="1">
              <a:extLst>
                <a:ext uri="{63B3BB69-23CF-44E3-9099-C40C66FF867C}">
                  <a14:compatExt spid="_x0000_s1060"/>
                </a:ext>
              </a:extLst>
            </xdr:cNvPr>
            <xdr:cNvSpPr/>
          </xdr:nvSpPr>
          <xdr:spPr>
            <a:xfrm>
              <a:off x="4885690" y="12442190"/>
              <a:ext cx="317500" cy="428625"/>
            </a:xfrm>
            <a:prstGeom prst="rect">
              <a:avLst/>
            </a:prstGeom>
          </xdr:spPr>
        </xdr:sp>
        <xdr:clientData/>
      </xdr:twoCellAnchor>
    </mc:Choice>
    <mc:Fallback/>
  </mc:AlternateContent>
  <xdr:twoCellAnchor>
    <xdr:from>
      <xdr:col>13</xdr:col>
      <xdr:colOff>560313</xdr:colOff>
      <xdr:row>51</xdr:row>
      <xdr:rowOff>62752</xdr:rowOff>
    </xdr:from>
    <xdr:to>
      <xdr:col>15</xdr:col>
      <xdr:colOff>289878</xdr:colOff>
      <xdr:row>53</xdr:row>
      <xdr:rowOff>161363</xdr:rowOff>
    </xdr:to>
    <xdr:sp>
      <xdr:nvSpPr>
        <xdr:cNvPr id="4" name="TextBox 3"/>
        <xdr:cNvSpPr txBox="1"/>
      </xdr:nvSpPr>
      <xdr:spPr>
        <a:xfrm>
          <a:off x="7865745" y="11161395"/>
          <a:ext cx="910590" cy="4800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a:t>V</a:t>
          </a:r>
          <a:r>
            <a:rPr lang="en-US" sz="2400" baseline="-25000"/>
            <a:t>IN</a:t>
          </a:r>
          <a:r>
            <a:rPr lang="en-US" sz="2400"/>
            <a:t> =</a:t>
          </a:r>
          <a:endParaRPr lang="en-US" sz="2400"/>
        </a:p>
      </xdr:txBody>
    </xdr:sp>
    <xdr:clientData/>
  </xdr:twoCellAnchor>
  <xdr:twoCellAnchor>
    <xdr:from>
      <xdr:col>15</xdr:col>
      <xdr:colOff>130006</xdr:colOff>
      <xdr:row>51</xdr:row>
      <xdr:rowOff>71718</xdr:rowOff>
    </xdr:from>
    <xdr:to>
      <xdr:col>16</xdr:col>
      <xdr:colOff>461700</xdr:colOff>
      <xdr:row>53</xdr:row>
      <xdr:rowOff>170330</xdr:rowOff>
    </xdr:to>
    <xdr:sp textlink="VIN_var">
      <xdr:nvSpPr>
        <xdr:cNvPr id="3" name="TextBox 2"/>
        <xdr:cNvSpPr txBox="1"/>
      </xdr:nvSpPr>
      <xdr:spPr>
        <a:xfrm>
          <a:off x="8616315" y="11170285"/>
          <a:ext cx="922655" cy="4800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945AF08-B1D6-47C0-A1D9-CF710D8B3736}" type="TxLink">
            <a:rPr lang="en-US" sz="2400" b="0" i="0" u="none" strike="noStrike">
              <a:solidFill>
                <a:srgbClr val="000000"/>
              </a:solidFill>
              <a:latin typeface="Calibri" panose="020F0502020204030204"/>
              <a:cs typeface="Calibri" panose="020F0502020204030204"/>
            </a:rPr>
            <a:t>4</a:t>
          </a:fld>
          <a:endParaRPr lang="en-US" sz="4800"/>
        </a:p>
      </xdr:txBody>
    </xdr:sp>
    <xdr:clientData/>
  </xdr:twoCellAnchor>
  <xdr:twoCellAnchor>
    <xdr:from>
      <xdr:col>16</xdr:col>
      <xdr:colOff>271973</xdr:colOff>
      <xdr:row>51</xdr:row>
      <xdr:rowOff>62752</xdr:rowOff>
    </xdr:from>
    <xdr:to>
      <xdr:col>18</xdr:col>
      <xdr:colOff>11996</xdr:colOff>
      <xdr:row>53</xdr:row>
      <xdr:rowOff>161363</xdr:rowOff>
    </xdr:to>
    <xdr:sp>
      <xdr:nvSpPr>
        <xdr:cNvPr id="12" name="TextBox 11"/>
        <xdr:cNvSpPr txBox="1"/>
      </xdr:nvSpPr>
      <xdr:spPr>
        <a:xfrm>
          <a:off x="9349105" y="11161395"/>
          <a:ext cx="920750" cy="4800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a:t>V</a:t>
          </a:r>
          <a:endParaRPr lang="en-US" sz="2400"/>
        </a:p>
      </xdr:txBody>
    </xdr:sp>
    <xdr:clientData/>
  </xdr:twoCellAnchor>
  <xdr:twoCellAnchor>
    <xdr:from>
      <xdr:col>11</xdr:col>
      <xdr:colOff>376517</xdr:colOff>
      <xdr:row>76</xdr:row>
      <xdr:rowOff>26894</xdr:rowOff>
    </xdr:from>
    <xdr:to>
      <xdr:col>13</xdr:col>
      <xdr:colOff>116540</xdr:colOff>
      <xdr:row>78</xdr:row>
      <xdr:rowOff>134470</xdr:rowOff>
    </xdr:to>
    <xdr:sp>
      <xdr:nvSpPr>
        <xdr:cNvPr id="9" name="TextBox 8"/>
        <xdr:cNvSpPr txBox="1"/>
      </xdr:nvSpPr>
      <xdr:spPr>
        <a:xfrm>
          <a:off x="6500495" y="16421735"/>
          <a:ext cx="921385" cy="51689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a:t>V</a:t>
          </a:r>
          <a:r>
            <a:rPr lang="en-US" sz="2400" baseline="-25000"/>
            <a:t>IN</a:t>
          </a:r>
          <a:r>
            <a:rPr lang="en-US" sz="2400"/>
            <a:t> =</a:t>
          </a:r>
          <a:endParaRPr lang="en-US" sz="2400"/>
        </a:p>
      </xdr:txBody>
    </xdr:sp>
    <xdr:clientData/>
  </xdr:twoCellAnchor>
  <xdr:twoCellAnchor>
    <xdr:from>
      <xdr:col>13</xdr:col>
      <xdr:colOff>67851</xdr:colOff>
      <xdr:row>76</xdr:row>
      <xdr:rowOff>35860</xdr:rowOff>
    </xdr:from>
    <xdr:to>
      <xdr:col>14</xdr:col>
      <xdr:colOff>417475</xdr:colOff>
      <xdr:row>78</xdr:row>
      <xdr:rowOff>143437</xdr:rowOff>
    </xdr:to>
    <xdr:sp textlink="VIN_var">
      <xdr:nvSpPr>
        <xdr:cNvPr id="10" name="TextBox 9"/>
        <xdr:cNvSpPr txBox="1"/>
      </xdr:nvSpPr>
      <xdr:spPr>
        <a:xfrm>
          <a:off x="7372985" y="16430625"/>
          <a:ext cx="940435" cy="51689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3B256A8-11FB-4B1E-A1DF-DFACC41BEEAC}" type="TxLink">
            <a:rPr lang="en-US" sz="2400" b="0" i="0" u="none" strike="noStrike">
              <a:solidFill>
                <a:srgbClr val="000000"/>
              </a:solidFill>
              <a:latin typeface="Calibri" panose="020F0502020204030204"/>
              <a:cs typeface="Calibri" panose="020F0502020204030204"/>
            </a:rPr>
            <a:t>4</a:t>
          </a:fld>
          <a:endParaRPr lang="en-US" sz="4800"/>
        </a:p>
      </xdr:txBody>
    </xdr:sp>
    <xdr:clientData/>
  </xdr:twoCellAnchor>
  <xdr:twoCellAnchor>
    <xdr:from>
      <xdr:col>13</xdr:col>
      <xdr:colOff>554332</xdr:colOff>
      <xdr:row>76</xdr:row>
      <xdr:rowOff>26894</xdr:rowOff>
    </xdr:from>
    <xdr:to>
      <xdr:col>15</xdr:col>
      <xdr:colOff>283896</xdr:colOff>
      <xdr:row>78</xdr:row>
      <xdr:rowOff>134470</xdr:rowOff>
    </xdr:to>
    <xdr:sp>
      <xdr:nvSpPr>
        <xdr:cNvPr id="11" name="TextBox 10"/>
        <xdr:cNvSpPr txBox="1"/>
      </xdr:nvSpPr>
      <xdr:spPr>
        <a:xfrm>
          <a:off x="7859395" y="16421735"/>
          <a:ext cx="911225" cy="51689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a:t>V</a:t>
          </a:r>
          <a:endParaRPr lang="en-US" sz="2400"/>
        </a:p>
      </xdr:txBody>
    </xdr:sp>
    <xdr:clientData/>
  </xdr:twoCellAnchor>
  <xdr:twoCellAnchor>
    <xdr:from>
      <xdr:col>11</xdr:col>
      <xdr:colOff>89647</xdr:colOff>
      <xdr:row>67</xdr:row>
      <xdr:rowOff>134471</xdr:rowOff>
    </xdr:from>
    <xdr:to>
      <xdr:col>15</xdr:col>
      <xdr:colOff>201684</xdr:colOff>
      <xdr:row>68</xdr:row>
      <xdr:rowOff>114300</xdr:rowOff>
    </xdr:to>
    <xdr:sp textlink="Loop_Modeling!A77">
      <xdr:nvSpPr>
        <xdr:cNvPr id="13" name="TextBox 12"/>
        <xdr:cNvSpPr txBox="1"/>
      </xdr:nvSpPr>
      <xdr:spPr>
        <a:xfrm>
          <a:off x="6214110" y="14481175"/>
          <a:ext cx="2473960" cy="21844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37CE13BC-923D-44DF-81B9-035F6847C9BD}" type="TxLink">
            <a:rPr lang="en-US" sz="1100" b="1" i="0" u="none" strike="noStrike">
              <a:solidFill>
                <a:srgbClr val="FF0000"/>
              </a:solidFill>
              <a:latin typeface="Calibri" panose="020F0502020204030204"/>
              <a:cs typeface="Calibri" panose="020F0502020204030204"/>
            </a:rPr>
            <a:t>Crossover Frequency = 2,7 kHz</a:t>
          </a:fld>
          <a:endParaRPr lang="en-US" sz="2400" b="1">
            <a:solidFill>
              <a:srgbClr val="FF0000"/>
            </a:solidFill>
            <a:latin typeface="+mn-lt"/>
            <a:cs typeface="Arial" panose="020B0604020202020204" pitchFamily="7" charset="0"/>
          </a:endParaRPr>
        </a:p>
      </xdr:txBody>
    </xdr:sp>
    <xdr:clientData/>
  </xdr:twoCellAnchor>
  <xdr:twoCellAnchor>
    <xdr:from>
      <xdr:col>11</xdr:col>
      <xdr:colOff>156882</xdr:colOff>
      <xdr:row>69</xdr:row>
      <xdr:rowOff>56030</xdr:rowOff>
    </xdr:from>
    <xdr:to>
      <xdr:col>13</xdr:col>
      <xdr:colOff>202023</xdr:colOff>
      <xdr:row>70</xdr:row>
      <xdr:rowOff>31810</xdr:rowOff>
    </xdr:to>
    <xdr:sp textlink="Loop_Modeling!A78">
      <xdr:nvSpPr>
        <xdr:cNvPr id="14" name="TextBox 13"/>
        <xdr:cNvSpPr txBox="1"/>
      </xdr:nvSpPr>
      <xdr:spPr>
        <a:xfrm>
          <a:off x="6281420" y="14831695"/>
          <a:ext cx="1226185" cy="17589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6C0E0563-A684-422E-8470-05FA83E0B546}" type="TxLink">
            <a:rPr lang="en-US" sz="1100" b="1" i="0" u="none" strike="noStrike">
              <a:solidFill>
                <a:srgbClr val="002060"/>
              </a:solidFill>
              <a:latin typeface="Calibri" panose="020F0502020204030204"/>
              <a:cs typeface="Calibri" panose="020F0502020204030204"/>
            </a:rPr>
            <a:t>Phase Margin = 49°</a:t>
          </a:fld>
          <a:endParaRPr lang="en-US" sz="2400" b="1">
            <a:solidFill>
              <a:srgbClr val="002060"/>
            </a:solidFill>
          </a:endParaRPr>
        </a:p>
      </xdr:txBody>
    </xdr:sp>
    <xdr:clientData/>
  </xdr:twoCellAnchor>
  <xdr:twoCellAnchor editAs="oneCell">
    <xdr:from>
      <xdr:col>10</xdr:col>
      <xdr:colOff>324970</xdr:colOff>
      <xdr:row>11</xdr:row>
      <xdr:rowOff>59671</xdr:rowOff>
    </xdr:from>
    <xdr:to>
      <xdr:col>25</xdr:col>
      <xdr:colOff>37679</xdr:colOff>
      <xdr:row>33</xdr:row>
      <xdr:rowOff>212911</xdr:rowOff>
    </xdr:to>
    <xdr:pic>
      <xdr:nvPicPr>
        <xdr:cNvPr id="8" name="Picture 7"/>
        <xdr:cNvPicPr>
          <a:picLocks noChangeAspect="1"/>
        </xdr:cNvPicPr>
      </xdr:nvPicPr>
      <xdr:blipFill>
        <a:blip r:embed="rId3" cstate="print">
          <a:extLst>
            <a:ext uri="{28A0092B-C50C-407E-A947-70E740481C1C}">
              <a14:useLocalDpi xmlns:a14="http://schemas.microsoft.com/office/drawing/2010/main" val="0"/>
            </a:ext>
          </a:extLst>
        </a:blip>
        <a:stretch>
          <a:fillRect/>
        </a:stretch>
      </xdr:blipFill>
      <xdr:spPr>
        <a:xfrm>
          <a:off x="5858510" y="2661920"/>
          <a:ext cx="8456930" cy="4801870"/>
        </a:xfrm>
        <a:prstGeom prst="rect">
          <a:avLst/>
        </a:prstGeom>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152400</xdr:rowOff>
    </xdr:from>
    <xdr:to>
      <xdr:col>1</xdr:col>
      <xdr:colOff>592455</xdr:colOff>
      <xdr:row>2</xdr:row>
      <xdr:rowOff>83771</xdr:rowOff>
    </xdr:to>
    <xdr:pic>
      <xdr:nvPicPr>
        <xdr:cNvPr id="2" name="Picture 1" descr="ti logo">
          <a:hlinkClick xmlns:r="http://schemas.openxmlformats.org/officeDocument/2006/relationships" r:id="rId1"/>
        </xdr:cNvPr>
        <xdr:cNvPicPr>
          <a:picLocks noChangeAspect="1" noChangeArrowheads="1"/>
        </xdr:cNvPicPr>
      </xdr:nvPicPr>
      <xdr:blipFill>
        <a:blip r:embed="rId2" cstate="print">
          <a:extLst>
            <a:ext uri="{28A0092B-C50C-407E-A947-70E740481C1C}">
              <a14:useLocalDpi xmlns:a14="http://schemas.microsoft.com/office/drawing/2010/main" val="0"/>
            </a:ext>
          </a:extLst>
        </a:blip>
        <a:srcRect/>
        <a:stretch>
          <a:fillRect/>
        </a:stretch>
      </xdr:blipFill>
      <xdr:spPr>
        <a:xfrm>
          <a:off x="0" y="152400"/>
          <a:ext cx="2306955" cy="2927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xdr:col>
      <xdr:colOff>200025</xdr:colOff>
      <xdr:row>0</xdr:row>
      <xdr:rowOff>114300</xdr:rowOff>
    </xdr:from>
    <xdr:ext cx="3752850" cy="381708"/>
    <xdr:sp>
      <xdr:nvSpPr>
        <xdr:cNvPr id="3" name="TextBox 2"/>
        <xdr:cNvSpPr txBox="1"/>
      </xdr:nvSpPr>
      <xdr:spPr>
        <a:xfrm>
          <a:off x="1914525" y="114300"/>
          <a:ext cx="3752850" cy="3816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600">
              <a:latin typeface="Arial Black" panose="020B0A04020102020204" pitchFamily="34" charset="0"/>
            </a:rPr>
            <a:t>About this tool...</a:t>
          </a:r>
          <a:endParaRPr lang="en-US" sz="1600">
            <a:latin typeface="Arial Black" panose="020B0A04020102020204" pitchFamily="34" charset="0"/>
          </a:endParaRPr>
        </a:p>
      </xdr:txBody>
    </xdr:sp>
    <xdr:clientData/>
  </xdr:oneCellAnchor>
  <xdr:oneCellAnchor>
    <xdr:from>
      <xdr:col>3</xdr:col>
      <xdr:colOff>323850</xdr:colOff>
      <xdr:row>1</xdr:row>
      <xdr:rowOff>28575</xdr:rowOff>
    </xdr:from>
    <xdr:ext cx="4719497" cy="254557"/>
    <xdr:sp>
      <xdr:nvSpPr>
        <xdr:cNvPr id="4" name="TextBox 3">
          <a:hlinkClick xmlns:r="http://schemas.openxmlformats.org/officeDocument/2006/relationships" r:id="rId3"/>
        </xdr:cNvPr>
        <xdr:cNvSpPr txBox="1"/>
      </xdr:nvSpPr>
      <xdr:spPr>
        <a:xfrm>
          <a:off x="6419850" y="209550"/>
          <a:ext cx="4719320" cy="254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i="0" u="none" strike="noStrike">
              <a:solidFill>
                <a:schemeClr val="tx1"/>
              </a:solidFill>
              <a:effectLst/>
              <a:latin typeface="Arial" panose="020B0604020202020204" pitchFamily="7" charset="0"/>
              <a:ea typeface="+mn-ea"/>
              <a:cs typeface="Arial" panose="020B0604020202020204" pitchFamily="7" charset="0"/>
            </a:rPr>
            <a:t>© Copyright 2024</a:t>
          </a:r>
          <a:r>
            <a:rPr lang="en-US" sz="1100" b="0" i="0">
              <a:solidFill>
                <a:schemeClr val="tx1"/>
              </a:solidFill>
              <a:effectLst/>
              <a:latin typeface="Arial" panose="020B0604020202020204" pitchFamily="7" charset="0"/>
              <a:ea typeface="+mn-ea"/>
              <a:cs typeface="Arial" panose="020B0604020202020204" pitchFamily="7" charset="0"/>
            </a:rPr>
            <a:t> Texas Instruments Incorporated. All rights reserved.</a:t>
          </a:r>
          <a:endParaRPr lang="en-US" sz="1100" b="0">
            <a:latin typeface="Arial" panose="020B0604020202020204" pitchFamily="7" charset="0"/>
            <a:cs typeface="Arial" panose="020B0604020202020204" pitchFamily="7" charset="0"/>
          </a:endParaRPr>
        </a:p>
      </xdr:txBody>
    </xdr:sp>
    <xdr:clientData/>
  </xdr:oneCellAnchor>
  <xdr:oneCellAnchor>
    <xdr:from>
      <xdr:col>0</xdr:col>
      <xdr:colOff>95247</xdr:colOff>
      <xdr:row>6</xdr:row>
      <xdr:rowOff>47623</xdr:rowOff>
    </xdr:from>
    <xdr:ext cx="11229977" cy="4086227"/>
    <xdr:sp>
      <xdr:nvSpPr>
        <xdr:cNvPr id="5" name="TextBox 4"/>
        <xdr:cNvSpPr txBox="1"/>
      </xdr:nvSpPr>
      <xdr:spPr>
        <a:xfrm>
          <a:off x="94615" y="1132840"/>
          <a:ext cx="11229975" cy="408686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1">
              <a:latin typeface="Arial" panose="020B0604020202020204" pitchFamily="7" charset="0"/>
              <a:cs typeface="Arial" panose="020B0604020202020204" pitchFamily="7" charset="0"/>
            </a:rPr>
            <a:t>LICENSE INFORMATION:</a:t>
          </a:r>
          <a:endParaRPr lang="en-US" sz="1000" b="1">
            <a:latin typeface="Arial" panose="020B0604020202020204" pitchFamily="7" charset="0"/>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Copyright (c) 2021 Texas Instruments Incorporated</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All rights reserved not granted herein.</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Limited License.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Texas Instruments Incorporated grants a world-wide, royalty-free, non-exclusive license under copyrights and patents it now or hereafter owns or controls to make, have made, use, import, offer to sell and sell ("Utilize") this software subject to the terms herein.  With respect to the foregoing patent license, such license is granted  solely to the extent that any such patent is necessary to Utilize the software alone.  The patent license shall not apply to any combinations which include this software, other than combinations with devices manufactured by or for TI (“TI Devices”).  No hardware patent is licensed hereunder.</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Redistributions must preserve existing copyright notices and reproduce this license (including the above copyright notice and the disclaimer and (if applicable) source code license limitations below) in the documentation and/or other materials provided with the distribution</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Redistribution and use in binary form, without modification, are permitted provided that the following conditions are met:</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No reverse engineering, decompilation, or disassembly of this software is permitted with respect to any software provided in binary form.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Any redistribution and use are licensed by TI for use only with TI Devices.</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Nothing shall obligate TI to provide you with source code for the software licensed and provided to you in object code.</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If software source code is provided to you, modification and redistribution of the source code are permitted provided that the following conditions are met:</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Any redistribution and use of the source code, including any resulting derivative works, are licensed by TI for use only with TI Devices.</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Any redistribution and use of any object code compiled from the source code and any resulting derivative works, are licensed by TI for use only with TI Devices.</a:t>
          </a:r>
          <a:endParaRPr lang="en-US" sz="900">
            <a:solidFill>
              <a:schemeClr val="tx1"/>
            </a:solidFill>
            <a:effectLst/>
            <a:latin typeface="Arial" panose="020B0604020202020204" pitchFamily="7" charset="0"/>
            <a:ea typeface="+mn-ea"/>
            <a:cs typeface="Arial" panose="020B0604020202020204" pitchFamily="7" charset="0"/>
          </a:endParaRPr>
        </a:p>
        <a:p>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Neither the name of Texas Instruments Incorporated nor the names of its suppliers may be used to endorse or promote products derived from this software without specific prior written permission.</a:t>
          </a:r>
          <a:endParaRPr lang="en-US" sz="1000" b="1">
            <a:latin typeface="Arial" panose="020B0604020202020204" pitchFamily="7" charset="0"/>
            <a:cs typeface="Arial" panose="020B0604020202020204" pitchFamily="7" charset="0"/>
          </a:endParaRPr>
        </a:p>
        <a:p>
          <a:pPr marL="0" marR="0" indent="0" defTabSz="914400" eaLnBrk="1" fontAlgn="auto" latinLnBrk="0" hangingPunct="1">
            <a:lnSpc>
              <a:spcPct val="100000"/>
            </a:lnSpc>
            <a:spcBef>
              <a:spcPts val="0"/>
            </a:spcBef>
            <a:spcAft>
              <a:spcPts val="0"/>
            </a:spcAft>
            <a:buClrTx/>
            <a:buSzTx/>
            <a:buFontTx/>
            <a:buNone/>
            <a:defRPr/>
          </a:pPr>
          <a:endParaRPr lang="en-US" sz="1000" baseline="0">
            <a:latin typeface="Arial" panose="020B0604020202020204" pitchFamily="7" charset="0"/>
            <a:cs typeface="Arial" panose="020B0604020202020204" pitchFamily="7" charset="0"/>
          </a:endParaRPr>
        </a:p>
        <a:p>
          <a:pPr marL="0" marR="0" indent="0" defTabSz="914400" eaLnBrk="1" fontAlgn="auto" latinLnBrk="0" hangingPunct="1">
            <a:lnSpc>
              <a:spcPct val="100000"/>
            </a:lnSpc>
            <a:spcBef>
              <a:spcPts val="0"/>
            </a:spcBef>
            <a:spcAft>
              <a:spcPts val="0"/>
            </a:spcAft>
            <a:buClrTx/>
            <a:buSzTx/>
            <a:buFontTx/>
            <a:buNone/>
            <a:defRPr/>
          </a:pPr>
          <a:r>
            <a:rPr lang="en-US" sz="1000" b="1" baseline="0">
              <a:latin typeface="Arial" panose="020B0604020202020204" pitchFamily="7" charset="0"/>
              <a:cs typeface="Arial" panose="020B0604020202020204" pitchFamily="7" charset="0"/>
            </a:rPr>
            <a:t>DISCLAMER:</a:t>
          </a:r>
          <a:endParaRPr lang="en-US" sz="1000" b="1" baseline="0">
            <a:latin typeface="Arial" panose="020B0604020202020204" pitchFamily="7" charset="0"/>
            <a:cs typeface="Arial" panose="020B0604020202020204" pitchFamily="7" charset="0"/>
          </a:endParaRPr>
        </a:p>
        <a:p>
          <a:pPr marL="0" marR="0" indent="0" defTabSz="914400" eaLnBrk="1" fontAlgn="auto" latinLnBrk="0" hangingPunct="1">
            <a:lnSpc>
              <a:spcPct val="100000"/>
            </a:lnSpc>
            <a:spcBef>
              <a:spcPts val="0"/>
            </a:spcBef>
            <a:spcAft>
              <a:spcPts val="0"/>
            </a:spcAft>
            <a:buClrTx/>
            <a:buSzTx/>
            <a:buFontTx/>
            <a:buNone/>
            <a:defRPr/>
          </a:pPr>
          <a:r>
            <a:rPr lang="en-US" sz="800" baseline="0">
              <a:latin typeface="Arial" panose="020B0604020202020204" pitchFamily="7" charset="0"/>
              <a:cs typeface="Arial" panose="020B0604020202020204" pitchFamily="7" charset="0"/>
            </a:rPr>
            <a:t>THIS SOFTWARE IS PROVIDED BY TI AND TI’S LICENSORS "AS IS" AND ANY EXPRESS OR IMPLIED WARRANTIES, INCLUDING, BUT NOT LIMITED TO, THE IMPLIED WARRANTIES OF MERCHANTABILITY AND FITNESS FOR A PARTICULAR PURPOSE ARE DISCLAIMED. IN NO EVENT SHALL TI AND TI’S LICENSORS BE LIABLE FOR ANY DIRECT, INDIRECT, INCIDENTAL, SPECIAL, EXEMPLARY, OR CONSEQUENTIAL DAMAGES (INCLUDING, BUT NOT LIMITED TO, PROCUREMENT OF SUBSTITUTE GOODS OR SERVICES; LOSS OF USE, DATA, OR PROFITS; OR BUSINESS INTERRUPTION) HOWEVER CAUSED AND ON ANY THEORY OF LIABILITY, WHETHER IN CONTRACT, STRICT LIABILITY, OR TORT (INCLUDING NEGLIGENCE OR OTHERWISE) ARISING IN ANY WAY OUT OF THE USE OF THIS SOFTWARE, EVEN IF ADVISED OF THE POSSIBILITY OF SUCH DAMAGE.</a:t>
          </a:r>
          <a:endParaRPr lang="en-US" sz="800" baseline="0">
            <a:latin typeface="Arial" panose="020B0604020202020204" pitchFamily="7" charset="0"/>
            <a:cs typeface="Arial" panose="020B0604020202020204" pitchFamily="7" charset="0"/>
          </a:endParaRPr>
        </a:p>
      </xdr:txBody>
    </xdr:sp>
    <xdr:clientData/>
  </xdr:oneCellAnchor>
  <xdr:oneCellAnchor>
    <xdr:from>
      <xdr:col>0</xdr:col>
      <xdr:colOff>95247</xdr:colOff>
      <xdr:row>29</xdr:row>
      <xdr:rowOff>47623</xdr:rowOff>
    </xdr:from>
    <xdr:ext cx="11229977" cy="809627"/>
    <xdr:sp>
      <xdr:nvSpPr>
        <xdr:cNvPr id="6" name="TextBox 5"/>
        <xdr:cNvSpPr txBox="1"/>
      </xdr:nvSpPr>
      <xdr:spPr>
        <a:xfrm>
          <a:off x="94615" y="5295265"/>
          <a:ext cx="11229975" cy="810260"/>
        </a:xfrm>
        <a:prstGeom prst="rect">
          <a:avLst/>
        </a:prstGeom>
        <a:solidFill>
          <a:schemeClr val="bg1">
            <a:lumMod val="9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solidFill>
                <a:schemeClr val="tx1"/>
              </a:solidFill>
              <a:effectLst/>
              <a:latin typeface="+mn-lt"/>
              <a:ea typeface="+mn-ea"/>
              <a:cs typeface="+mn-cs"/>
            </a:rPr>
            <a:t>IMPORTANT</a:t>
          </a:r>
          <a:r>
            <a:rPr lang="en-US" sz="1100" b="1" baseline="0">
              <a:solidFill>
                <a:schemeClr val="tx1"/>
              </a:solidFill>
              <a:effectLst/>
              <a:latin typeface="+mn-lt"/>
              <a:ea typeface="+mn-ea"/>
              <a:cs typeface="+mn-cs"/>
            </a:rPr>
            <a:t>:   </a:t>
          </a:r>
          <a:endParaRPr lang="en-US" sz="800">
            <a:effectLst/>
          </a:endParaRPr>
        </a:p>
        <a:p>
          <a:r>
            <a:rPr lang="en-US" sz="1100" baseline="0">
              <a:solidFill>
                <a:schemeClr val="tx1"/>
              </a:solidFill>
              <a:effectLst/>
              <a:latin typeface="+mn-lt"/>
              <a:ea typeface="+mn-ea"/>
              <a:cs typeface="+mn-cs"/>
            </a:rPr>
            <a:t>1.  Do not delete this worksheet!</a:t>
          </a:r>
          <a:endParaRPr lang="en-US" sz="800">
            <a:effectLst/>
          </a:endParaRPr>
        </a:p>
        <a:p>
          <a:pPr eaLnBrk="1" fontAlgn="auto" latinLnBrk="0" hangingPunct="1"/>
          <a:r>
            <a:rPr lang="en-US" sz="1100" baseline="0">
              <a:solidFill>
                <a:schemeClr val="tx1"/>
              </a:solidFill>
              <a:effectLst/>
              <a:latin typeface="+mn-lt"/>
              <a:ea typeface="+mn-ea"/>
              <a:cs typeface="+mn-cs"/>
            </a:rPr>
            <a:t>2.  Redistributions must retain the above copyright and the following disclaimer.</a:t>
          </a:r>
          <a:endParaRPr lang="en-US" sz="800">
            <a:effectLst/>
          </a:endParaRPr>
        </a:p>
        <a:p>
          <a:endParaRPr lang="en-US" sz="800" baseline="0">
            <a:latin typeface="Arial" panose="020B0604020202020204" pitchFamily="7" charset="0"/>
            <a:cs typeface="Arial" panose="020B0604020202020204" pitchFamily="7" charset="0"/>
          </a:endParaRPr>
        </a:p>
      </xdr:txBody>
    </xdr:sp>
    <xdr:clientData/>
  </xdr:oneCellAnchor>
  <xdr:oneCellAnchor>
    <xdr:from>
      <xdr:col>0</xdr:col>
      <xdr:colOff>95247</xdr:colOff>
      <xdr:row>6</xdr:row>
      <xdr:rowOff>47623</xdr:rowOff>
    </xdr:from>
    <xdr:ext cx="11229977" cy="4200527"/>
    <xdr:sp>
      <xdr:nvSpPr>
        <xdr:cNvPr id="7" name="TextBox 6"/>
        <xdr:cNvSpPr txBox="1"/>
      </xdr:nvSpPr>
      <xdr:spPr>
        <a:xfrm>
          <a:off x="94615" y="1132840"/>
          <a:ext cx="11229975" cy="420116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marR="0" lvl="0" indent="0" algn="ctr" defTabSz="914400" eaLnBrk="1" fontAlgn="auto" latinLnBrk="0" hangingPunct="1">
            <a:lnSpc>
              <a:spcPct val="100000"/>
            </a:lnSpc>
            <a:spcBef>
              <a:spcPts val="0"/>
            </a:spcBef>
            <a:spcAft>
              <a:spcPts val="0"/>
            </a:spcAft>
            <a:buClrTx/>
            <a:buSzTx/>
            <a:buFontTx/>
            <a:buNone/>
            <a:defRPr/>
          </a:pPr>
          <a:r>
            <a:rPr kumimoji="0" lang="en-US" sz="1800" b="1" i="0" u="none" strike="noStrike" kern="0" cap="none" spc="0" normalizeH="0" baseline="0" noProof="0">
              <a:ln>
                <a:noFill/>
              </a:ln>
              <a:solidFill>
                <a:sysClr val="windowText" lastClr="000000"/>
              </a:solidFill>
              <a:effectLst/>
              <a:uLnTx/>
              <a:uFillTx/>
              <a:latin typeface="+mn-lt"/>
              <a:ea typeface="+mn-ea"/>
              <a:cs typeface="+mn-cs"/>
            </a:rPr>
            <a:t>IMPORTANT NOTICE AND DISCLAIMER</a:t>
          </a:r>
          <a:endParaRPr kumimoji="0" lang="en-US" sz="1800" b="1" i="0" u="none" strike="noStrike" kern="0" cap="none" spc="0" normalizeH="0" baseline="0" noProof="0">
            <a:ln>
              <a:noFill/>
            </a:ln>
            <a:solidFill>
              <a:sysClr val="windowText" lastClr="000000"/>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defRPr/>
          </a:pPr>
          <a:br>
            <a:rPr kumimoji="0" lang="en-US" sz="10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PROVIDES TECHNICAL AND RELIABILITY DATA (INCLUDING DATA SHEETS), DESIGN RESOURCES (INCLUDING REFERENCE</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DESIGNS), APPLICATION OR OTHER DESIGN ADVICE, WEB TOOLS, SAFETY INFORMATION, AND OTHER RESOURCES “AS IS”</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AND WITH ALL FAULTS, AND DISCLAIMS ALL WARRANTIES, EXPRESS AND IMPLIED, INCLUDING WITHOUT LIMITATION ANY</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IMPLIED WARRANTIES OF MERCHANTABILITY, FITNESS FOR A PARTICULAR PURPOSE OR NON-INFRINGEMENT OF THIRD</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PARTY INTELLECTUAL PROPERTY RIGHTS.</a:t>
          </a:r>
          <a:endParaRPr kumimoji="0" lang="en-US" sz="1050" b="0" i="0" u="none" strike="noStrike" kern="0" cap="none" spc="0" normalizeH="0" baseline="0" noProof="0">
            <a:ln>
              <a:noFill/>
            </a:ln>
            <a:solidFill>
              <a:sysClr val="windowText" lastClr="000000"/>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These resources are intended for skilled developers designing with TI products. You are solely responsible for (1) selecting the appropriate</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products for your application, (2) designing, validating and testing your application, and (3) ensuring your application meets applicable</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standards, and any other safety, security, regulatory or other requirements.</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These resources are subject to change without notice. TI grants you permission to use these resources only for development of an</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application that uses the TI products described in the resource. Other reproduction and display of these resources is prohibited. No license</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is granted to any other TI intellectual property right or to any third party intellectual property right. TI disclaims responsibility for, and you</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will fully indemnify TI and its representatives against, any claims, damages, costs, losses, and liabilities arising out of your use of these</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resources.</a:t>
          </a:r>
          <a:endParaRPr kumimoji="0" lang="en-US" sz="1050" b="0" i="0" u="none" strike="noStrike" kern="0" cap="none" spc="0" normalizeH="0" baseline="0" noProof="0">
            <a:ln>
              <a:noFill/>
            </a:ln>
            <a:solidFill>
              <a:sysClr val="windowText" lastClr="000000"/>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TI’s products are provided subject to TI’s Terms of Sale or other applicable terms available either on ti.com or provided in conjunction with</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such TI products. TI’s provision of these resources does not expand or otherwise alter TI’s applicable warranties or warranty disclaimers for</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products.</a:t>
          </a:r>
          <a:endParaRPr kumimoji="0" lang="en-US" sz="1050" b="0" i="0" u="none" strike="noStrike" kern="0" cap="none" spc="0" normalizeH="0" baseline="0" noProof="0">
            <a:ln>
              <a:noFill/>
            </a:ln>
            <a:solidFill>
              <a:sysClr val="windowText" lastClr="000000"/>
            </a:solidFill>
            <a:effectLst/>
            <a:uLnTx/>
            <a:uFillTx/>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objects to and rejects any additional or different terms you may have proposed. IMPORTANT NOTICE</a:t>
          </a:r>
          <a:endParaRPr kumimoji="0" lang="en-US" sz="1050" b="0" i="0" u="none" strike="noStrike" kern="0" cap="none" spc="0" normalizeH="0" baseline="0" noProof="0">
            <a:ln>
              <a:noFill/>
            </a:ln>
            <a:solidFill>
              <a:sysClr val="windowText" lastClr="000000"/>
            </a:solidFill>
            <a:effectLst/>
            <a:uLnTx/>
            <a:uFillTx/>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Mailing Address: Texas Instruments, Post Office Box 655303, Dallas, Texas 75265</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Copyright © 2024, Texas Instruments Incorporated</a:t>
          </a:r>
          <a:endParaRPr kumimoji="0" lang="en-US" sz="700" b="0" i="0" u="none" strike="noStrike" kern="0" cap="none" spc="0" normalizeH="0" baseline="0" noProof="0">
            <a:ln>
              <a:noFill/>
            </a:ln>
            <a:solidFill>
              <a:sysClr val="windowText" lastClr="000000"/>
            </a:solidFill>
            <a:effectLst/>
            <a:uLnTx/>
            <a:uFillTx/>
            <a:latin typeface="Arial" panose="020B0604020202020204" pitchFamily="7" charset="0"/>
            <a:ea typeface="+mn-ea"/>
            <a:cs typeface="Arial" panose="020B0604020202020204" pitchFamily="7" charset="0"/>
          </a:endParaRPr>
        </a:p>
      </xdr:txBody>
    </xdr:sp>
    <xdr:clientData/>
  </xdr:one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9</xdr:col>
      <xdr:colOff>505866</xdr:colOff>
      <xdr:row>199</xdr:row>
      <xdr:rowOff>166488</xdr:rowOff>
    </xdr:from>
    <xdr:to>
      <xdr:col>15</xdr:col>
      <xdr:colOff>375236</xdr:colOff>
      <xdr:row>202</xdr:row>
      <xdr:rowOff>52509</xdr:rowOff>
    </xdr:to>
    <xdr:sp>
      <xdr:nvSpPr>
        <xdr:cNvPr id="2" name="TextBox 1"/>
        <xdr:cNvSpPr txBox="1"/>
      </xdr:nvSpPr>
      <xdr:spPr>
        <a:xfrm>
          <a:off x="10039985" y="38262560"/>
          <a:ext cx="3698240" cy="457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Need to explain the placement of the Zero</a:t>
          </a:r>
          <a:r>
            <a:rPr lang="en-US" sz="1100" baseline="0"/>
            <a:t> a little bit better. The pole location should also be based on the location of the zero</a:t>
          </a:r>
          <a:endParaRPr lang="en-US" sz="1100"/>
        </a:p>
      </xdr:txBody>
    </xdr:sp>
    <xdr:clientData/>
  </xdr:twoCellAnchor>
  <xdr:twoCellAnchor>
    <xdr:from>
      <xdr:col>8</xdr:col>
      <xdr:colOff>842683</xdr:colOff>
      <xdr:row>174</xdr:row>
      <xdr:rowOff>17930</xdr:rowOff>
    </xdr:from>
    <xdr:to>
      <xdr:col>14</xdr:col>
      <xdr:colOff>475130</xdr:colOff>
      <xdr:row>184</xdr:row>
      <xdr:rowOff>98613</xdr:rowOff>
    </xdr:to>
    <xdr:sp>
      <xdr:nvSpPr>
        <xdr:cNvPr id="4" name="TextBox 3"/>
        <xdr:cNvSpPr txBox="1"/>
      </xdr:nvSpPr>
      <xdr:spPr>
        <a:xfrm>
          <a:off x="9534525" y="33351470"/>
          <a:ext cx="3703955" cy="198564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Loop</a:t>
          </a:r>
          <a:r>
            <a:rPr lang="en-US" sz="1100" baseline="0"/>
            <a:t> compensation is calculated for the minimum input voltage. This ensure stability over the input votlage range</a:t>
          </a:r>
          <a:endParaRPr lang="en-US" sz="1100"/>
        </a:p>
      </xdr:txBody>
    </xdr:sp>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8</xdr:col>
      <xdr:colOff>375238</xdr:colOff>
      <xdr:row>64</xdr:row>
      <xdr:rowOff>185055</xdr:rowOff>
    </xdr:from>
    <xdr:to>
      <xdr:col>16</xdr:col>
      <xdr:colOff>643009</xdr:colOff>
      <xdr:row>84</xdr:row>
      <xdr:rowOff>3117</xdr:rowOff>
    </xdr:to>
    <xdr:graphicFrame>
      <xdr:nvGraphicFramePr>
        <xdr:cNvPr id="2" name="Chart 1"/>
        <xdr:cNvGraphicFramePr/>
      </xdr:nvGraphicFramePr>
      <xdr:xfrm>
        <a:off x="5175250" y="12786360"/>
        <a:ext cx="5092700" cy="362775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14</xdr:col>
      <xdr:colOff>1051560</xdr:colOff>
      <xdr:row>49</xdr:row>
      <xdr:rowOff>45720</xdr:rowOff>
    </xdr:from>
    <xdr:to>
      <xdr:col>25</xdr:col>
      <xdr:colOff>563880</xdr:colOff>
      <xdr:row>73</xdr:row>
      <xdr:rowOff>19050</xdr:rowOff>
    </xdr:to>
    <xdr:graphicFrame>
      <xdr:nvGraphicFramePr>
        <xdr:cNvPr id="4" name="Chart 3"/>
        <xdr:cNvGraphicFramePr/>
      </xdr:nvGraphicFramePr>
      <xdr:xfrm>
        <a:off x="11138535" y="9675495"/>
        <a:ext cx="7122795" cy="455485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45</xdr:col>
      <xdr:colOff>186690</xdr:colOff>
      <xdr:row>39</xdr:row>
      <xdr:rowOff>167640</xdr:rowOff>
    </xdr:from>
    <xdr:to>
      <xdr:col>47</xdr:col>
      <xdr:colOff>515247</xdr:colOff>
      <xdr:row>45</xdr:row>
      <xdr:rowOff>69932</xdr:rowOff>
    </xdr:to>
    <xdr:pic>
      <xdr:nvPicPr>
        <xdr:cNvPr id="7" name="Picture 6"/>
        <xdr:cNvPicPr>
          <a:picLocks noChangeAspect="1"/>
        </xdr:cNvPicPr>
      </xdr:nvPicPr>
      <xdr:blipFill>
        <a:blip r:embed="rId7"/>
        <a:stretch>
          <a:fillRect/>
        </a:stretch>
      </xdr:blipFill>
      <xdr:spPr>
        <a:xfrm>
          <a:off x="30104715" y="7892415"/>
          <a:ext cx="1804670" cy="1045210"/>
        </a:xfrm>
        <a:prstGeom prst="rect">
          <a:avLst/>
        </a:prstGeom>
      </xdr:spPr>
    </xdr:pic>
    <xdr:clientData/>
  </xdr:twoCellAnchor>
  <xdr:twoCellAnchor editAs="oneCell">
    <xdr:from>
      <xdr:col>47</xdr:col>
      <xdr:colOff>247650</xdr:colOff>
      <xdr:row>40</xdr:row>
      <xdr:rowOff>60960</xdr:rowOff>
    </xdr:from>
    <xdr:to>
      <xdr:col>51</xdr:col>
      <xdr:colOff>567929</xdr:colOff>
      <xdr:row>44</xdr:row>
      <xdr:rowOff>129611</xdr:rowOff>
    </xdr:to>
    <xdr:pic>
      <xdr:nvPicPr>
        <xdr:cNvPr id="8" name="Picture 7"/>
        <xdr:cNvPicPr>
          <a:picLocks noChangeAspect="1"/>
        </xdr:cNvPicPr>
      </xdr:nvPicPr>
      <xdr:blipFill>
        <a:blip r:embed="rId8"/>
        <a:stretch>
          <a:fillRect/>
        </a:stretch>
      </xdr:blipFill>
      <xdr:spPr>
        <a:xfrm>
          <a:off x="31642050" y="7976235"/>
          <a:ext cx="2720340" cy="830580"/>
        </a:xfrm>
        <a:prstGeom prst="rect">
          <a:avLst/>
        </a:prstGeom>
      </xdr:spPr>
    </xdr:pic>
    <xdr:clientData/>
  </xdr:twoCellAnchor>
  <xdr:twoCellAnchor>
    <xdr:from>
      <xdr:col>44</xdr:col>
      <xdr:colOff>30480</xdr:colOff>
      <xdr:row>49</xdr:row>
      <xdr:rowOff>64770</xdr:rowOff>
    </xdr:from>
    <xdr:to>
      <xdr:col>55</xdr:col>
      <xdr:colOff>144780</xdr:colOff>
      <xdr:row>73</xdr:row>
      <xdr:rowOff>38100</xdr:rowOff>
    </xdr:to>
    <xdr:graphicFrame>
      <xdr:nvGraphicFramePr>
        <xdr:cNvPr id="9" name="Chart 8"/>
        <xdr:cNvGraphicFramePr/>
      </xdr:nvGraphicFramePr>
      <xdr:xfrm>
        <a:off x="29348430" y="9694545"/>
        <a:ext cx="6981825" cy="455485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7620</xdr:colOff>
      <xdr:row>21</xdr:row>
      <xdr:rowOff>121920</xdr:rowOff>
    </xdr:from>
    <xdr:to>
      <xdr:col>26</xdr:col>
      <xdr:colOff>45720</xdr:colOff>
      <xdr:row>45</xdr:row>
      <xdr:rowOff>80010</xdr:rowOff>
    </xdr:to>
    <xdr:graphicFrame>
      <xdr:nvGraphicFramePr>
        <xdr:cNvPr id="10" name="Chart 9"/>
        <xdr:cNvGraphicFramePr/>
      </xdr:nvGraphicFramePr>
      <xdr:xfrm>
        <a:off x="11199495" y="4408170"/>
        <a:ext cx="7143750" cy="453961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8325</xdr:colOff>
      <xdr:row>32</xdr:row>
      <xdr:rowOff>8964</xdr:rowOff>
    </xdr:from>
    <xdr:to>
      <xdr:col>11</xdr:col>
      <xdr:colOff>591031</xdr:colOff>
      <xdr:row>40</xdr:row>
      <xdr:rowOff>131269</xdr:rowOff>
    </xdr:to>
    <xdr:sp>
      <xdr:nvSpPr>
        <xdr:cNvPr id="11" name="TextBox 10"/>
        <xdr:cNvSpPr txBox="1"/>
      </xdr:nvSpPr>
      <xdr:spPr>
        <a:xfrm>
          <a:off x="6513830" y="6400165"/>
          <a:ext cx="2363470" cy="16459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8</xdr:col>
      <xdr:colOff>0</xdr:colOff>
      <xdr:row>49</xdr:row>
      <xdr:rowOff>13855</xdr:rowOff>
    </xdr:from>
    <xdr:to>
      <xdr:col>12</xdr:col>
      <xdr:colOff>83127</xdr:colOff>
      <xdr:row>60</xdr:row>
      <xdr:rowOff>13855</xdr:rowOff>
    </xdr:to>
    <xdr:sp>
      <xdr:nvSpPr>
        <xdr:cNvPr id="12" name="TextBox 11"/>
        <xdr:cNvSpPr txBox="1"/>
      </xdr:nvSpPr>
      <xdr:spPr>
        <a:xfrm>
          <a:off x="6505575" y="9643110"/>
          <a:ext cx="2463800" cy="21050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a:t>
          </a:r>
          <a:r>
            <a:rPr lang="en-US" sz="1100" baseline="0"/>
            <a:t> error amplifier is the same regardless of the mode of operation</a:t>
          </a:r>
          <a:endParaRPr lang="en-US" sz="1100" baseline="0"/>
        </a:p>
      </xdr:txBody>
    </xdr:sp>
    <xdr:clientData/>
  </xdr:twoCellAnchor>
  <xdr:twoCellAnchor>
    <xdr:from>
      <xdr:col>31</xdr:col>
      <xdr:colOff>313764</xdr:colOff>
      <xdr:row>48</xdr:row>
      <xdr:rowOff>179295</xdr:rowOff>
    </xdr:from>
    <xdr:to>
      <xdr:col>42</xdr:col>
      <xdr:colOff>438673</xdr:colOff>
      <xdr:row>72</xdr:row>
      <xdr:rowOff>152625</xdr:rowOff>
    </xdr:to>
    <xdr:graphicFrame>
      <xdr:nvGraphicFramePr>
        <xdr:cNvPr id="14" name="Chart 13"/>
        <xdr:cNvGraphicFramePr/>
      </xdr:nvGraphicFramePr>
      <xdr:xfrm>
        <a:off x="21602065" y="9618345"/>
        <a:ext cx="6991985" cy="45548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31</xdr:col>
      <xdr:colOff>0</xdr:colOff>
      <xdr:row>22</xdr:row>
      <xdr:rowOff>0</xdr:rowOff>
    </xdr:from>
    <xdr:to>
      <xdr:col>42</xdr:col>
      <xdr:colOff>97865</xdr:colOff>
      <xdr:row>45</xdr:row>
      <xdr:rowOff>144855</xdr:rowOff>
    </xdr:to>
    <xdr:graphicFrame>
      <xdr:nvGraphicFramePr>
        <xdr:cNvPr id="15" name="Chart 14"/>
        <xdr:cNvGraphicFramePr/>
      </xdr:nvGraphicFramePr>
      <xdr:xfrm>
        <a:off x="21288375" y="4476750"/>
        <a:ext cx="6965315" cy="453580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44</xdr:col>
      <xdr:colOff>0</xdr:colOff>
      <xdr:row>22</xdr:row>
      <xdr:rowOff>0</xdr:rowOff>
    </xdr:from>
    <xdr:to>
      <xdr:col>55</xdr:col>
      <xdr:colOff>269688</xdr:colOff>
      <xdr:row>45</xdr:row>
      <xdr:rowOff>144855</xdr:rowOff>
    </xdr:to>
    <xdr:graphicFrame>
      <xdr:nvGraphicFramePr>
        <xdr:cNvPr id="16" name="Chart 15"/>
        <xdr:cNvGraphicFramePr/>
      </xdr:nvGraphicFramePr>
      <xdr:xfrm>
        <a:off x="29317950" y="4476750"/>
        <a:ext cx="7136765" cy="453580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2</xdr:col>
      <xdr:colOff>0</xdr:colOff>
      <xdr:row>2</xdr:row>
      <xdr:rowOff>0</xdr:rowOff>
    </xdr:from>
    <xdr:to>
      <xdr:col>3</xdr:col>
      <xdr:colOff>9157</xdr:colOff>
      <xdr:row>3</xdr:row>
      <xdr:rowOff>0</xdr:rowOff>
    </xdr:to>
    <xdr:graphicFrame>
      <xdr:nvGraphicFramePr>
        <xdr:cNvPr id="3" name="Chart 2"/>
        <xdr:cNvGraphicFramePr/>
      </xdr:nvGraphicFramePr>
      <xdr:xfrm>
        <a:off x="1200150" y="381000"/>
        <a:ext cx="9667240" cy="48221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50800</xdr:colOff>
      <xdr:row>1</xdr:row>
      <xdr:rowOff>610854</xdr:rowOff>
    </xdr:from>
    <xdr:to>
      <xdr:col>2</xdr:col>
      <xdr:colOff>3175</xdr:colOff>
      <xdr:row>1</xdr:row>
      <xdr:rowOff>3136990</xdr:rowOff>
    </xdr:to>
    <xdr:pic>
      <xdr:nvPicPr>
        <xdr:cNvPr id="3" name="Picture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650875" y="800735"/>
          <a:ext cx="4705350" cy="252666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ctrlProp" Target="../ctrlProps/ctrlProp1.xm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0000"/>
    <pageSetUpPr fitToPage="1"/>
  </sheetPr>
  <dimension ref="A1:AA102"/>
  <sheetViews>
    <sheetView tabSelected="1" topLeftCell="A41" workbookViewId="0">
      <selection activeCell="H12" sqref="H12"/>
    </sheetView>
  </sheetViews>
  <sheetFormatPr defaultColWidth="8.85714285714286" defaultRowHeight="15"/>
  <cols>
    <col min="1" max="6" width="8.85714285714286" style="170" customWidth="1"/>
    <col min="7" max="7" width="8.85714285714286" style="171" customWidth="1"/>
    <col min="8" max="8" width="12" style="170" customWidth="1"/>
    <col min="9" max="9" width="4.14285714285714" style="170" customWidth="1"/>
    <col min="10" max="10" width="4.85714285714286" style="170" customWidth="1"/>
    <col min="11" max="20" width="8.85714285714286" style="170" customWidth="1"/>
    <col min="21" max="21" width="8.85714285714286" style="168" customWidth="1"/>
    <col min="22" max="22" width="7.14285714285714" style="170" customWidth="1"/>
    <col min="23" max="26" width="8.85714285714286" style="170" customWidth="1"/>
    <col min="27" max="27" width="1.85714285714286" style="172" customWidth="1"/>
    <col min="28" max="16384" width="8.85714285714286" style="170"/>
  </cols>
  <sheetData>
    <row r="1" ht="46.7" customHeight="1" spans="1:27">
      <c r="A1" s="173"/>
      <c r="B1" s="173"/>
      <c r="C1" s="173"/>
      <c r="D1" s="173"/>
      <c r="E1" s="174" t="s">
        <v>0</v>
      </c>
      <c r="F1" s="173"/>
      <c r="G1" s="175"/>
      <c r="H1" s="173"/>
      <c r="I1" s="173"/>
      <c r="J1" s="173"/>
      <c r="K1" s="173"/>
      <c r="L1" s="173"/>
      <c r="M1" s="173"/>
      <c r="N1" s="173"/>
      <c r="O1" s="173"/>
      <c r="P1" s="173"/>
      <c r="Q1" s="173"/>
      <c r="R1" s="173"/>
      <c r="S1" s="173"/>
      <c r="T1" s="173"/>
      <c r="U1" s="176"/>
      <c r="V1" s="173"/>
      <c r="W1" s="173"/>
      <c r="X1" s="173"/>
      <c r="Y1" s="173"/>
      <c r="Z1" s="173"/>
      <c r="AA1" s="177"/>
    </row>
    <row r="2" s="168" customFormat="1" spans="1:27">
      <c r="A2" s="178"/>
      <c r="B2" s="178"/>
      <c r="C2" s="178"/>
      <c r="D2" s="178"/>
      <c r="E2" s="178"/>
      <c r="F2" s="178"/>
      <c r="G2" s="179"/>
      <c r="H2" s="178"/>
      <c r="I2" s="178"/>
      <c r="J2" s="178"/>
      <c r="K2" s="178"/>
      <c r="L2" s="178"/>
      <c r="M2" s="178"/>
      <c r="N2" s="178"/>
      <c r="O2" s="178"/>
      <c r="P2" s="178"/>
      <c r="Q2" s="178"/>
      <c r="R2" s="178"/>
      <c r="S2" s="178"/>
      <c r="T2" s="178"/>
      <c r="U2" s="178"/>
      <c r="V2" s="178"/>
      <c r="W2" s="178"/>
      <c r="X2" s="178"/>
      <c r="Y2" s="178"/>
      <c r="Z2" s="178"/>
      <c r="AA2" s="180"/>
    </row>
    <row r="3" s="168" customFormat="1" spans="1:27">
      <c r="A3" s="181" t="s">
        <v>1</v>
      </c>
      <c r="B3" s="178"/>
      <c r="C3" s="178"/>
      <c r="D3" s="178"/>
      <c r="E3" s="182"/>
      <c r="F3" s="271" t="s">
        <v>2</v>
      </c>
      <c r="G3" s="179"/>
      <c r="H3" s="178"/>
      <c r="I3" s="178"/>
      <c r="J3" s="178"/>
      <c r="K3" s="178"/>
      <c r="L3" s="178"/>
      <c r="M3" s="178"/>
      <c r="N3" s="178"/>
      <c r="O3" s="183" t="s">
        <v>3</v>
      </c>
      <c r="P3" s="178"/>
      <c r="Q3" s="178"/>
      <c r="R3" s="178"/>
      <c r="S3" s="178"/>
      <c r="T3" s="178"/>
      <c r="U3" s="178"/>
      <c r="V3" s="178"/>
      <c r="W3" s="178"/>
      <c r="X3" s="178"/>
      <c r="Y3" s="178"/>
      <c r="Z3" s="178"/>
      <c r="AA3" s="180"/>
    </row>
    <row r="4" s="169" customFormat="1" spans="1:27">
      <c r="A4" s="184"/>
      <c r="B4" s="184"/>
      <c r="C4" s="184"/>
      <c r="D4" s="184"/>
      <c r="E4" s="184"/>
      <c r="F4" s="184"/>
      <c r="G4" s="185"/>
      <c r="H4" s="184"/>
      <c r="I4" s="184"/>
      <c r="J4" s="184"/>
      <c r="K4" s="184"/>
      <c r="L4" s="184"/>
      <c r="M4" s="184"/>
      <c r="N4" s="184"/>
      <c r="O4" s="184"/>
      <c r="P4" s="184"/>
      <c r="Q4" s="184"/>
      <c r="R4" s="184"/>
      <c r="S4" s="184"/>
      <c r="T4" s="184"/>
      <c r="U4" s="184"/>
      <c r="V4" s="184"/>
      <c r="W4" s="184"/>
      <c r="X4" s="184"/>
      <c r="Y4" s="184"/>
      <c r="Z4" s="184"/>
      <c r="AA4" s="186"/>
    </row>
    <row r="5" spans="1:27">
      <c r="A5" s="187"/>
      <c r="B5" s="187"/>
      <c r="C5" s="187"/>
      <c r="D5" s="187"/>
      <c r="E5" s="187"/>
      <c r="F5" s="187"/>
      <c r="G5" s="188"/>
      <c r="H5" s="187"/>
      <c r="I5" s="187"/>
      <c r="J5" s="187"/>
      <c r="K5" s="187"/>
      <c r="L5" s="187"/>
      <c r="M5" s="187"/>
      <c r="N5" s="187"/>
      <c r="O5" s="187" t="str">
        <f>CONCATENATE("Rev ",Licenses!$B$5)</f>
        <v>Rev 1.0.0</v>
      </c>
      <c r="P5" s="189" t="s">
        <v>4</v>
      </c>
      <c r="Q5" s="187"/>
      <c r="R5" s="187"/>
      <c r="S5" s="187"/>
      <c r="T5" s="187"/>
      <c r="U5" s="190"/>
      <c r="V5" s="187"/>
      <c r="W5" s="187"/>
      <c r="X5" s="187"/>
      <c r="Y5" s="187"/>
      <c r="Z5" s="187"/>
      <c r="AA5" s="177"/>
    </row>
    <row r="6" ht="15.75" spans="1:27">
      <c r="A6" s="191" t="s">
        <v>5</v>
      </c>
      <c r="B6" s="187"/>
      <c r="C6" s="187"/>
      <c r="D6" s="187"/>
      <c r="E6" s="187"/>
      <c r="F6" s="187"/>
      <c r="G6" s="188"/>
      <c r="H6" s="187"/>
      <c r="I6" s="187"/>
      <c r="J6" s="187"/>
      <c r="K6" s="187"/>
      <c r="L6" s="187"/>
      <c r="M6" s="187"/>
      <c r="N6" s="187"/>
      <c r="O6" s="187"/>
      <c r="P6" s="187"/>
      <c r="Q6" s="187"/>
      <c r="R6" s="187"/>
      <c r="S6" s="187"/>
      <c r="T6" s="187"/>
      <c r="U6" s="190"/>
      <c r="V6" s="187"/>
      <c r="W6" s="187"/>
      <c r="X6" s="187"/>
      <c r="Y6" s="187"/>
      <c r="Z6" s="187"/>
      <c r="AA6" s="177"/>
    </row>
    <row r="7" ht="16.5" spans="1:27">
      <c r="A7" s="192"/>
      <c r="B7" s="193"/>
      <c r="C7" s="193"/>
      <c r="D7" s="193"/>
      <c r="E7" s="193"/>
      <c r="F7" s="193"/>
      <c r="G7" s="194" t="s">
        <v>6</v>
      </c>
      <c r="H7" s="195">
        <v>3</v>
      </c>
      <c r="I7" s="196" t="s">
        <v>7</v>
      </c>
      <c r="J7" s="187"/>
      <c r="K7" s="187"/>
      <c r="L7" s="187"/>
      <c r="M7" s="187"/>
      <c r="N7" s="187"/>
      <c r="O7" s="187"/>
      <c r="P7" s="187"/>
      <c r="Q7" s="187"/>
      <c r="R7" s="187"/>
      <c r="S7" s="187"/>
      <c r="T7" s="187"/>
      <c r="U7" s="190"/>
      <c r="V7" s="187"/>
      <c r="W7" s="187"/>
      <c r="X7" s="187"/>
      <c r="Y7" s="187"/>
      <c r="Z7" s="187"/>
      <c r="AA7" s="177"/>
    </row>
    <row r="8" ht="16.5" spans="1:27">
      <c r="A8" s="197"/>
      <c r="B8" s="190"/>
      <c r="C8" s="190"/>
      <c r="D8" s="190"/>
      <c r="E8" s="190"/>
      <c r="F8" s="190"/>
      <c r="G8" s="198" t="s">
        <v>8</v>
      </c>
      <c r="H8" s="199">
        <v>4.2</v>
      </c>
      <c r="I8" s="200" t="s">
        <v>7</v>
      </c>
      <c r="J8" s="187"/>
      <c r="K8" s="187"/>
      <c r="L8" s="187"/>
      <c r="M8" s="187"/>
      <c r="N8" s="187"/>
      <c r="O8" s="187"/>
      <c r="P8" s="187"/>
      <c r="Q8" s="187"/>
      <c r="R8" s="187"/>
      <c r="S8" s="187"/>
      <c r="T8" s="187"/>
      <c r="U8" s="190"/>
      <c r="V8" s="187"/>
      <c r="W8" s="187"/>
      <c r="X8" s="187"/>
      <c r="Y8" s="187"/>
      <c r="Z8" s="187"/>
      <c r="AA8" s="177"/>
    </row>
    <row r="9" ht="16.5" spans="1:27">
      <c r="A9" s="197"/>
      <c r="B9" s="190"/>
      <c r="C9" s="190"/>
      <c r="D9" s="190"/>
      <c r="E9" s="190"/>
      <c r="F9" s="190"/>
      <c r="G9" s="198" t="s">
        <v>9</v>
      </c>
      <c r="H9" s="199">
        <f>4.2*3</f>
        <v>12.6</v>
      </c>
      <c r="I9" s="200" t="s">
        <v>7</v>
      </c>
      <c r="J9" s="187"/>
      <c r="K9" s="187"/>
      <c r="L9" s="187"/>
      <c r="M9" s="187"/>
      <c r="N9" s="187"/>
      <c r="O9" s="187"/>
      <c r="P9" s="187"/>
      <c r="Q9" s="187"/>
      <c r="R9" s="187"/>
      <c r="S9" s="187"/>
      <c r="T9" s="187"/>
      <c r="U9" s="190"/>
      <c r="V9" s="187"/>
      <c r="W9" s="187"/>
      <c r="X9" s="187"/>
      <c r="Y9" s="187"/>
      <c r="Z9" s="187"/>
      <c r="AA9" s="177"/>
    </row>
    <row r="10" ht="16.5" spans="1:27">
      <c r="A10" s="197"/>
      <c r="B10" s="190"/>
      <c r="C10" s="190"/>
      <c r="D10" s="190"/>
      <c r="E10" s="190"/>
      <c r="F10" s="190"/>
      <c r="G10" s="198" t="s">
        <v>10</v>
      </c>
      <c r="H10" s="199">
        <v>20</v>
      </c>
      <c r="I10" s="200" t="s">
        <v>7</v>
      </c>
      <c r="J10" s="187"/>
      <c r="K10" s="187"/>
      <c r="L10" s="187"/>
      <c r="M10" s="187"/>
      <c r="N10" s="187"/>
      <c r="O10" s="187"/>
      <c r="P10" s="187"/>
      <c r="Q10" s="187"/>
      <c r="R10" s="187"/>
      <c r="S10" s="187"/>
      <c r="T10" s="187"/>
      <c r="U10" s="190"/>
      <c r="V10" s="187"/>
      <c r="W10" s="187"/>
      <c r="X10" s="187"/>
      <c r="Y10" s="187"/>
      <c r="Z10" s="187"/>
      <c r="AA10" s="177"/>
    </row>
    <row r="11" ht="16.5" spans="1:27">
      <c r="A11" s="197"/>
      <c r="B11" s="190"/>
      <c r="C11" s="190"/>
      <c r="D11" s="190"/>
      <c r="E11" s="190"/>
      <c r="F11" s="190"/>
      <c r="G11" s="198" t="s">
        <v>11</v>
      </c>
      <c r="H11" s="199">
        <v>3</v>
      </c>
      <c r="I11" s="200" t="s">
        <v>12</v>
      </c>
      <c r="J11" s="187"/>
      <c r="K11" s="187"/>
      <c r="L11" s="187"/>
      <c r="M11" s="187"/>
      <c r="N11" s="187"/>
      <c r="O11" s="187"/>
      <c r="P11" s="187"/>
      <c r="Q11" s="187"/>
      <c r="R11" s="187"/>
      <c r="S11" s="187"/>
      <c r="T11" s="187"/>
      <c r="U11" s="190"/>
      <c r="V11" s="187"/>
      <c r="W11" s="187"/>
      <c r="X11" s="187"/>
      <c r="Y11" s="187"/>
      <c r="Z11" s="187"/>
      <c r="AA11" s="177"/>
    </row>
    <row r="12" ht="16.5" spans="1:27">
      <c r="A12" s="197"/>
      <c r="B12" s="190"/>
      <c r="C12" s="190"/>
      <c r="D12" s="190"/>
      <c r="E12" s="190"/>
      <c r="F12" s="190"/>
      <c r="G12" s="198" t="s">
        <v>13</v>
      </c>
      <c r="H12" s="199">
        <v>700</v>
      </c>
      <c r="I12" s="200" t="s">
        <v>14</v>
      </c>
      <c r="J12" s="187"/>
      <c r="K12" s="187"/>
      <c r="L12" s="187"/>
      <c r="M12" s="187"/>
      <c r="N12" s="187"/>
      <c r="O12" s="187"/>
      <c r="P12" s="187"/>
      <c r="Q12" s="187"/>
      <c r="R12" s="187"/>
      <c r="S12" s="187"/>
      <c r="T12" s="187"/>
      <c r="U12" s="190"/>
      <c r="V12" s="187"/>
      <c r="W12" s="187"/>
      <c r="X12" s="187"/>
      <c r="Y12" s="187"/>
      <c r="Z12" s="187"/>
      <c r="AA12" s="177"/>
    </row>
    <row r="13" ht="16.5" spans="1:27">
      <c r="A13" s="197"/>
      <c r="B13" s="190"/>
      <c r="C13" s="190"/>
      <c r="D13" s="190"/>
      <c r="E13" s="190"/>
      <c r="F13" s="190"/>
      <c r="G13" s="198" t="s">
        <v>15</v>
      </c>
      <c r="H13" s="201">
        <f>RT/1000</f>
        <v>19.4392012767176</v>
      </c>
      <c r="I13" s="200" t="s">
        <v>16</v>
      </c>
      <c r="J13" s="187"/>
      <c r="K13" s="187"/>
      <c r="L13" s="187"/>
      <c r="M13" s="187"/>
      <c r="N13" s="187"/>
      <c r="O13" s="187"/>
      <c r="P13" s="187"/>
      <c r="Q13" s="187"/>
      <c r="R13" s="187"/>
      <c r="S13" s="187"/>
      <c r="T13" s="187"/>
      <c r="U13" s="190"/>
      <c r="V13" s="187"/>
      <c r="W13" s="187"/>
      <c r="X13" s="187"/>
      <c r="Y13" s="187"/>
      <c r="Z13" s="187"/>
      <c r="AA13" s="177"/>
    </row>
    <row r="14" ht="16.5" spans="1:27">
      <c r="A14" s="197"/>
      <c r="B14" s="190"/>
      <c r="C14" s="190"/>
      <c r="D14" s="190"/>
      <c r="E14" s="190"/>
      <c r="F14" s="190"/>
      <c r="G14" s="198" t="s">
        <v>17</v>
      </c>
      <c r="H14" s="202">
        <f>POUT</f>
        <v>60</v>
      </c>
      <c r="I14" s="200" t="s">
        <v>18</v>
      </c>
      <c r="J14" s="187"/>
      <c r="K14" s="187"/>
      <c r="L14" s="187"/>
      <c r="M14" s="187"/>
      <c r="N14" s="187"/>
      <c r="O14" s="187"/>
      <c r="P14" s="187"/>
      <c r="Q14" s="187"/>
      <c r="R14" s="187"/>
      <c r="S14" s="187"/>
      <c r="T14" s="187"/>
      <c r="U14" s="190"/>
      <c r="V14" s="187"/>
      <c r="W14" s="187"/>
      <c r="X14" s="187"/>
      <c r="Y14" s="187"/>
      <c r="Z14" s="187"/>
      <c r="AA14" s="177"/>
    </row>
    <row r="15" ht="16.5" spans="1:27">
      <c r="A15" s="203"/>
      <c r="B15" s="204"/>
      <c r="C15" s="204"/>
      <c r="D15" s="204"/>
      <c r="E15" s="204"/>
      <c r="F15" s="190"/>
      <c r="G15" s="205" t="s">
        <v>19</v>
      </c>
      <c r="H15" s="206">
        <f>Dc_max_IC*100</f>
        <v>97</v>
      </c>
      <c r="I15" s="200" t="s">
        <v>20</v>
      </c>
      <c r="J15" s="187"/>
      <c r="K15" s="187"/>
      <c r="L15" s="187"/>
      <c r="M15" s="187"/>
      <c r="N15" s="187"/>
      <c r="O15" s="187"/>
      <c r="P15" s="187"/>
      <c r="Q15" s="187"/>
      <c r="R15" s="187"/>
      <c r="S15" s="187"/>
      <c r="T15" s="187"/>
      <c r="U15" s="190"/>
      <c r="V15" s="187"/>
      <c r="W15" s="187"/>
      <c r="X15" s="187"/>
      <c r="Y15" s="187"/>
      <c r="Z15" s="187"/>
      <c r="AA15" s="177"/>
    </row>
    <row r="16" ht="17.25" spans="1:27">
      <c r="A16" s="207"/>
      <c r="B16" s="208"/>
      <c r="C16" s="208"/>
      <c r="D16" s="208"/>
      <c r="E16" s="208"/>
      <c r="F16" s="209"/>
      <c r="G16" s="210" t="s">
        <v>21</v>
      </c>
      <c r="H16" s="211">
        <f>Variable_Management!B19*100</f>
        <v>86.9565217391304</v>
      </c>
      <c r="I16" s="212" t="s">
        <v>20</v>
      </c>
      <c r="J16" s="187"/>
      <c r="K16" s="187"/>
      <c r="L16" s="187"/>
      <c r="M16" s="187"/>
      <c r="N16" s="187"/>
      <c r="O16" s="187"/>
      <c r="P16" s="187"/>
      <c r="Q16" s="187"/>
      <c r="R16" s="187"/>
      <c r="S16" s="187"/>
      <c r="T16" s="187"/>
      <c r="U16" s="190"/>
      <c r="V16" s="187"/>
      <c r="W16" s="187"/>
      <c r="X16" s="187"/>
      <c r="Y16" s="187"/>
      <c r="Z16" s="187"/>
      <c r="AA16" s="177"/>
    </row>
    <row r="17" spans="1:27">
      <c r="A17" s="204"/>
      <c r="B17" s="213"/>
      <c r="C17" s="213"/>
      <c r="D17" s="213"/>
      <c r="E17" s="204"/>
      <c r="F17" s="187"/>
      <c r="G17" s="188"/>
      <c r="H17" s="187"/>
      <c r="I17" s="187"/>
      <c r="J17" s="187"/>
      <c r="K17" s="187"/>
      <c r="L17" s="187"/>
      <c r="M17" s="187"/>
      <c r="N17" s="187"/>
      <c r="O17" s="187"/>
      <c r="P17" s="187"/>
      <c r="Q17" s="187"/>
      <c r="R17" s="187"/>
      <c r="S17" s="187"/>
      <c r="T17" s="187"/>
      <c r="U17" s="190"/>
      <c r="V17" s="187"/>
      <c r="W17" s="187"/>
      <c r="X17" s="187"/>
      <c r="Y17" s="187"/>
      <c r="Z17" s="187"/>
      <c r="AA17" s="177"/>
    </row>
    <row r="18" ht="15.75" spans="1:27">
      <c r="A18" s="214" t="s">
        <v>22</v>
      </c>
      <c r="B18" s="213"/>
      <c r="C18" s="213"/>
      <c r="D18" s="213"/>
      <c r="E18" s="204"/>
      <c r="F18" s="187"/>
      <c r="G18" s="188"/>
      <c r="H18" s="187"/>
      <c r="I18" s="187"/>
      <c r="J18" s="187"/>
      <c r="K18" s="187"/>
      <c r="L18" s="187"/>
      <c r="M18" s="187"/>
      <c r="N18" s="187"/>
      <c r="O18" s="187"/>
      <c r="P18" s="187"/>
      <c r="Q18" s="187"/>
      <c r="R18" s="187"/>
      <c r="S18" s="187"/>
      <c r="T18" s="187"/>
      <c r="U18" s="190"/>
      <c r="V18" s="187"/>
      <c r="W18" s="187"/>
      <c r="X18" s="187"/>
      <c r="Y18" s="187"/>
      <c r="Z18" s="187"/>
      <c r="AA18" s="177"/>
    </row>
    <row r="19" spans="1:27">
      <c r="A19" s="215"/>
      <c r="B19" s="216"/>
      <c r="C19" s="216"/>
      <c r="D19" s="216"/>
      <c r="E19" s="216"/>
      <c r="F19" s="193"/>
      <c r="G19" s="217" t="s">
        <v>23</v>
      </c>
      <c r="H19" s="218" t="str">
        <f>IF(Variable_Management!B21=0,"CCM","DCM")</f>
        <v>CCM</v>
      </c>
      <c r="I19" s="196"/>
      <c r="J19" s="187"/>
      <c r="K19" s="187"/>
      <c r="L19" s="187"/>
      <c r="M19" s="187"/>
      <c r="N19" s="187"/>
      <c r="O19" s="187"/>
      <c r="P19" s="187"/>
      <c r="Q19" s="187"/>
      <c r="R19" s="187"/>
      <c r="S19" s="187"/>
      <c r="T19" s="187"/>
      <c r="U19" s="190"/>
      <c r="V19" s="187"/>
      <c r="W19" s="187"/>
      <c r="X19" s="187"/>
      <c r="Y19" s="187"/>
      <c r="Z19" s="187"/>
      <c r="AA19" s="177"/>
    </row>
    <row r="20" ht="16.5" spans="1:27">
      <c r="A20" s="203"/>
      <c r="B20" s="204"/>
      <c r="C20" s="204"/>
      <c r="D20" s="204"/>
      <c r="E20" s="204"/>
      <c r="F20" s="190"/>
      <c r="G20" s="198" t="s">
        <v>24</v>
      </c>
      <c r="H20" s="199">
        <v>60</v>
      </c>
      <c r="I20" s="200" t="s">
        <v>20</v>
      </c>
      <c r="J20" s="187"/>
      <c r="K20" s="187"/>
      <c r="L20" s="187"/>
      <c r="M20" s="187"/>
      <c r="N20" s="187"/>
      <c r="O20" s="187"/>
      <c r="P20" s="187"/>
      <c r="Q20" s="187"/>
      <c r="R20" s="187"/>
      <c r="S20" s="187"/>
      <c r="T20" s="187"/>
      <c r="U20" s="190"/>
      <c r="V20" s="187"/>
      <c r="W20" s="187"/>
      <c r="X20" s="187"/>
      <c r="Y20" s="187"/>
      <c r="Z20" s="187"/>
      <c r="AA20" s="177"/>
    </row>
    <row r="21" ht="16.5" spans="1:27">
      <c r="A21" s="197"/>
      <c r="B21" s="190"/>
      <c r="C21" s="190"/>
      <c r="D21" s="190"/>
      <c r="E21" s="190"/>
      <c r="F21" s="190"/>
      <c r="G21" s="198" t="s">
        <v>25</v>
      </c>
      <c r="H21" s="219">
        <f>Variable_Management!B38*10^6</f>
        <v>0.289256198347107</v>
      </c>
      <c r="I21" s="200" t="s">
        <v>26</v>
      </c>
      <c r="J21" s="187"/>
      <c r="K21" s="187"/>
      <c r="L21" s="187"/>
      <c r="M21" s="187"/>
      <c r="N21" s="187"/>
      <c r="O21" s="187"/>
      <c r="P21" s="187"/>
      <c r="Q21" s="187"/>
      <c r="R21" s="187"/>
      <c r="S21" s="187"/>
      <c r="T21" s="187"/>
      <c r="U21" s="190"/>
      <c r="V21" s="187"/>
      <c r="W21" s="187"/>
      <c r="X21" s="187"/>
      <c r="Y21" s="187"/>
      <c r="Z21" s="187"/>
      <c r="AA21" s="177"/>
    </row>
    <row r="22" ht="16.5" spans="1:27">
      <c r="A22" s="197"/>
      <c r="B22" s="190"/>
      <c r="C22" s="190"/>
      <c r="D22" s="190"/>
      <c r="E22" s="190"/>
      <c r="F22" s="190"/>
      <c r="G22" s="198" t="s">
        <v>27</v>
      </c>
      <c r="H22" s="199">
        <v>10</v>
      </c>
      <c r="I22" s="200" t="s">
        <v>26</v>
      </c>
      <c r="J22" s="187"/>
      <c r="K22" s="187"/>
      <c r="L22" s="187"/>
      <c r="M22" s="187"/>
      <c r="N22" s="187"/>
      <c r="O22" s="187"/>
      <c r="P22" s="187"/>
      <c r="Q22" s="187"/>
      <c r="R22" s="187"/>
      <c r="S22" s="187"/>
      <c r="T22" s="187"/>
      <c r="U22" s="190"/>
      <c r="V22" s="187"/>
      <c r="W22" s="187"/>
      <c r="X22" s="187"/>
      <c r="Y22" s="187"/>
      <c r="Z22" s="187"/>
      <c r="AA22" s="177"/>
    </row>
    <row r="23" ht="17.25" spans="1:27">
      <c r="A23" s="220"/>
      <c r="B23" s="209"/>
      <c r="C23" s="209"/>
      <c r="D23" s="209"/>
      <c r="E23" s="209"/>
      <c r="F23" s="209"/>
      <c r="G23" s="221" t="s">
        <v>28</v>
      </c>
      <c r="H23" s="222">
        <f>ISW_peak_VIN_min</f>
        <v>23.3726708074534</v>
      </c>
      <c r="I23" s="212" t="s">
        <v>12</v>
      </c>
      <c r="J23" s="187"/>
      <c r="K23" s="187"/>
      <c r="L23" s="187"/>
      <c r="M23" s="187"/>
      <c r="N23" s="187"/>
      <c r="O23" s="187"/>
      <c r="P23" s="187"/>
      <c r="Q23" s="187"/>
      <c r="R23" s="187"/>
      <c r="S23" s="187"/>
      <c r="T23" s="187"/>
      <c r="U23" s="190"/>
      <c r="V23" s="187"/>
      <c r="W23" s="187"/>
      <c r="X23" s="187"/>
      <c r="Y23" s="187"/>
      <c r="Z23" s="187"/>
      <c r="AA23" s="177"/>
    </row>
    <row r="24" spans="1:27">
      <c r="A24" s="187"/>
      <c r="B24" s="187"/>
      <c r="C24" s="187"/>
      <c r="D24" s="187"/>
      <c r="E24" s="187"/>
      <c r="F24" s="187"/>
      <c r="G24" s="188"/>
      <c r="H24" s="187"/>
      <c r="I24" s="187"/>
      <c r="J24" s="187"/>
      <c r="K24" s="187"/>
      <c r="L24" s="187"/>
      <c r="M24" s="187"/>
      <c r="N24" s="187"/>
      <c r="O24" s="187"/>
      <c r="P24" s="187"/>
      <c r="Q24" s="187"/>
      <c r="R24" s="187"/>
      <c r="S24" s="187"/>
      <c r="T24" s="187"/>
      <c r="U24" s="190"/>
      <c r="V24" s="187"/>
      <c r="W24" s="187"/>
      <c r="X24" s="187"/>
      <c r="Y24" s="187"/>
      <c r="Z24" s="187"/>
      <c r="AA24" s="177"/>
    </row>
    <row r="25" ht="15.75" spans="1:27">
      <c r="A25" s="214" t="s">
        <v>29</v>
      </c>
      <c r="B25" s="187"/>
      <c r="C25" s="187"/>
      <c r="D25" s="187"/>
      <c r="E25" s="187"/>
      <c r="F25" s="187"/>
      <c r="G25" s="188"/>
      <c r="H25" s="187"/>
      <c r="I25" s="187"/>
      <c r="J25" s="187"/>
      <c r="K25" s="187"/>
      <c r="L25" s="187"/>
      <c r="M25" s="187"/>
      <c r="N25" s="187"/>
      <c r="O25" s="187"/>
      <c r="P25" s="187"/>
      <c r="Q25" s="187"/>
      <c r="R25" s="187"/>
      <c r="S25" s="187"/>
      <c r="T25" s="187"/>
      <c r="U25" s="190"/>
      <c r="V25" s="187"/>
      <c r="W25" s="187"/>
      <c r="X25" s="187"/>
      <c r="Y25" s="187"/>
      <c r="Z25" s="187"/>
      <c r="AA25" s="177"/>
    </row>
    <row r="26" spans="1:27">
      <c r="A26" s="192"/>
      <c r="B26" s="193"/>
      <c r="C26" s="193"/>
      <c r="D26" s="193"/>
      <c r="E26" s="193"/>
      <c r="F26" s="193"/>
      <c r="G26" s="194" t="s">
        <v>30</v>
      </c>
      <c r="H26" s="195">
        <v>30</v>
      </c>
      <c r="I26" s="196" t="s">
        <v>20</v>
      </c>
      <c r="J26" s="187"/>
      <c r="K26" s="187"/>
      <c r="L26" s="187"/>
      <c r="M26" s="187"/>
      <c r="N26" s="187"/>
      <c r="O26" s="187"/>
      <c r="P26" s="187"/>
      <c r="Q26" s="187"/>
      <c r="R26" s="187"/>
      <c r="S26" s="187"/>
      <c r="T26" s="187"/>
      <c r="U26" s="190"/>
      <c r="V26" s="187"/>
      <c r="W26" s="187"/>
      <c r="X26" s="187"/>
      <c r="Y26" s="187"/>
      <c r="Z26" s="187"/>
      <c r="AA26" s="177"/>
    </row>
    <row r="27" ht="18.75" spans="1:27">
      <c r="A27" s="197"/>
      <c r="B27" s="190"/>
      <c r="C27" s="190"/>
      <c r="D27" s="190"/>
      <c r="E27" s="190"/>
      <c r="F27" s="190"/>
      <c r="G27" s="223" t="s">
        <v>31</v>
      </c>
      <c r="H27" s="201">
        <f>Ipk_selected</f>
        <v>30.3844720496894</v>
      </c>
      <c r="I27" s="200" t="s">
        <v>12</v>
      </c>
      <c r="J27" s="187"/>
      <c r="K27" s="187"/>
      <c r="L27" s="187"/>
      <c r="M27" s="187"/>
      <c r="N27" s="187"/>
      <c r="O27" s="187"/>
      <c r="P27" s="187"/>
      <c r="Q27" s="187"/>
      <c r="R27" s="187"/>
      <c r="S27" s="187"/>
      <c r="T27" s="187"/>
      <c r="U27" s="190"/>
      <c r="V27" s="187"/>
      <c r="W27" s="187"/>
      <c r="X27" s="187"/>
      <c r="Y27" s="187"/>
      <c r="Z27" s="187"/>
      <c r="AA27" s="177"/>
    </row>
    <row r="28" ht="18.75" spans="1:27">
      <c r="A28" s="197"/>
      <c r="B28" s="190"/>
      <c r="C28" s="190"/>
      <c r="D28" s="190"/>
      <c r="E28" s="190"/>
      <c r="F28" s="190"/>
      <c r="G28" s="223" t="s">
        <v>32</v>
      </c>
      <c r="H28" s="201">
        <f>Variable_Management!B115*1000</f>
        <v>5.13420143502525</v>
      </c>
      <c r="I28" s="200" t="s">
        <v>33</v>
      </c>
      <c r="J28" s="187"/>
      <c r="K28" s="187"/>
      <c r="L28" s="187"/>
      <c r="M28" s="187"/>
      <c r="N28" s="187"/>
      <c r="O28" s="187"/>
      <c r="P28" s="187"/>
      <c r="Q28" s="187"/>
      <c r="R28" s="187"/>
      <c r="S28" s="187"/>
      <c r="T28" s="187"/>
      <c r="U28" s="190"/>
      <c r="V28" s="187"/>
      <c r="W28" s="187"/>
      <c r="X28" s="187"/>
      <c r="Y28" s="187"/>
      <c r="Z28" s="187"/>
      <c r="AA28" s="177"/>
    </row>
    <row r="29" ht="18.75" spans="1:27">
      <c r="A29" s="197"/>
      <c r="B29" s="190"/>
      <c r="C29" s="190"/>
      <c r="D29" s="190"/>
      <c r="E29" s="190"/>
      <c r="F29" s="190"/>
      <c r="G29" s="223" t="s">
        <v>34</v>
      </c>
      <c r="H29" s="224">
        <f>Variable_Management!B116</f>
        <v>0</v>
      </c>
      <c r="I29" s="225" t="s">
        <v>35</v>
      </c>
      <c r="J29" s="187"/>
      <c r="K29" s="187"/>
      <c r="L29" s="187"/>
      <c r="M29" s="187"/>
      <c r="N29" s="187"/>
      <c r="O29" s="187"/>
      <c r="P29" s="187"/>
      <c r="Q29" s="187"/>
      <c r="R29" s="187"/>
      <c r="S29" s="187"/>
      <c r="T29" s="187"/>
      <c r="U29" s="190"/>
      <c r="V29" s="187"/>
      <c r="W29" s="187"/>
      <c r="X29" s="187"/>
      <c r="Y29" s="187"/>
      <c r="Z29" s="187"/>
      <c r="AA29" s="177"/>
    </row>
    <row r="30" ht="18.75" spans="1:27">
      <c r="A30" s="197"/>
      <c r="B30" s="190"/>
      <c r="C30" s="190"/>
      <c r="D30" s="190"/>
      <c r="E30" s="190"/>
      <c r="F30" s="190"/>
      <c r="G30" s="223" t="s">
        <v>36</v>
      </c>
      <c r="H30" s="199">
        <v>10</v>
      </c>
      <c r="I30" s="200" t="s">
        <v>33</v>
      </c>
      <c r="J30" s="187"/>
      <c r="K30" s="187"/>
      <c r="L30" s="187"/>
      <c r="M30" s="187"/>
      <c r="N30" s="187"/>
      <c r="O30" s="187"/>
      <c r="P30" s="187"/>
      <c r="Q30" s="187"/>
      <c r="R30" s="187"/>
      <c r="S30" s="187"/>
      <c r="T30" s="187"/>
      <c r="U30" s="190"/>
      <c r="V30" s="187"/>
      <c r="W30" s="187"/>
      <c r="X30" s="187"/>
      <c r="Y30" s="187"/>
      <c r="Z30" s="187"/>
      <c r="AA30" s="177"/>
    </row>
    <row r="31" ht="18.75" spans="1:27">
      <c r="A31" s="197"/>
      <c r="B31" s="190"/>
      <c r="C31" s="190"/>
      <c r="D31" s="190"/>
      <c r="E31" s="190"/>
      <c r="F31" s="190"/>
      <c r="G31" s="223" t="s">
        <v>37</v>
      </c>
      <c r="H31" s="199">
        <v>0</v>
      </c>
      <c r="I31" s="225" t="s">
        <v>35</v>
      </c>
      <c r="J31" s="187"/>
      <c r="K31" s="187"/>
      <c r="L31" s="187"/>
      <c r="M31" s="187"/>
      <c r="N31" s="187"/>
      <c r="O31" s="187"/>
      <c r="P31" s="187"/>
      <c r="Q31" s="187"/>
      <c r="R31" s="187"/>
      <c r="S31" s="187"/>
      <c r="T31" s="187"/>
      <c r="U31" s="190"/>
      <c r="V31" s="187"/>
      <c r="W31" s="187"/>
      <c r="X31" s="187"/>
      <c r="Y31" s="187"/>
      <c r="Z31" s="187"/>
      <c r="AA31" s="177"/>
    </row>
    <row r="32" ht="15.75" spans="1:27">
      <c r="A32" s="220"/>
      <c r="B32" s="209"/>
      <c r="C32" s="209"/>
      <c r="D32" s="209"/>
      <c r="E32" s="209"/>
      <c r="F32" s="209"/>
      <c r="G32" s="226" t="s">
        <v>38</v>
      </c>
      <c r="H32" s="227">
        <f>IL_pk_max</f>
        <v>15.6</v>
      </c>
      <c r="I32" s="228" t="s">
        <v>12</v>
      </c>
      <c r="J32" s="187"/>
      <c r="K32" s="187"/>
      <c r="L32" s="187"/>
      <c r="M32" s="187"/>
      <c r="N32" s="187"/>
      <c r="O32" s="187"/>
      <c r="P32" s="187"/>
      <c r="Q32" s="187"/>
      <c r="R32" s="187"/>
      <c r="S32" s="187"/>
      <c r="T32" s="187"/>
      <c r="U32" s="190"/>
      <c r="V32" s="187"/>
      <c r="W32" s="187"/>
      <c r="X32" s="187"/>
      <c r="Y32" s="187"/>
      <c r="Z32" s="187"/>
      <c r="AA32" s="177"/>
    </row>
    <row r="33" spans="1:27">
      <c r="A33" s="187"/>
      <c r="B33" s="187"/>
      <c r="C33" s="187"/>
      <c r="D33" s="187"/>
      <c r="E33" s="187"/>
      <c r="F33" s="187"/>
      <c r="G33" s="188"/>
      <c r="H33" s="187"/>
      <c r="I33" s="187"/>
      <c r="J33" s="187"/>
      <c r="K33" s="187"/>
      <c r="L33" s="187"/>
      <c r="M33" s="187"/>
      <c r="N33" s="187"/>
      <c r="O33" s="187"/>
      <c r="P33" s="187"/>
      <c r="Q33" s="187"/>
      <c r="R33" s="187"/>
      <c r="S33" s="187"/>
      <c r="T33" s="187"/>
      <c r="U33" s="190"/>
      <c r="V33" s="187"/>
      <c r="W33" s="187"/>
      <c r="X33" s="187"/>
      <c r="Y33" s="187"/>
      <c r="Z33" s="187"/>
      <c r="AA33" s="177"/>
    </row>
    <row r="34" ht="19.5" spans="1:27">
      <c r="A34" s="214" t="s">
        <v>39</v>
      </c>
      <c r="B34" s="187"/>
      <c r="C34" s="187"/>
      <c r="D34" s="187"/>
      <c r="E34" s="187"/>
      <c r="F34" s="187"/>
      <c r="G34" s="188"/>
      <c r="H34" s="187"/>
      <c r="I34" s="187"/>
      <c r="J34" s="187"/>
      <c r="K34" s="187"/>
      <c r="L34" s="187"/>
      <c r="M34" s="187"/>
      <c r="N34" s="187"/>
      <c r="O34" s="187"/>
      <c r="P34" s="187"/>
      <c r="Q34" s="187"/>
      <c r="R34" s="187"/>
      <c r="S34" s="187"/>
      <c r="T34" s="187"/>
      <c r="U34" s="190"/>
      <c r="V34" s="187"/>
      <c r="W34" s="187"/>
      <c r="X34" s="187"/>
      <c r="Y34" s="187"/>
      <c r="Z34" s="187"/>
      <c r="AA34" s="177"/>
    </row>
    <row r="35" ht="18.75" spans="1:27">
      <c r="A35" s="192"/>
      <c r="B35" s="193"/>
      <c r="C35" s="193"/>
      <c r="D35" s="193"/>
      <c r="E35" s="193"/>
      <c r="F35" s="193"/>
      <c r="G35" s="229" t="s">
        <v>40</v>
      </c>
      <c r="H35" s="230">
        <f>Cac_min*(10^6)</f>
        <v>5.91540964211772</v>
      </c>
      <c r="I35" s="196" t="s">
        <v>41</v>
      </c>
      <c r="J35" s="187"/>
      <c r="K35" s="187"/>
      <c r="L35" s="187"/>
      <c r="M35" s="187"/>
      <c r="N35" s="187"/>
      <c r="O35" s="187"/>
      <c r="P35" s="187"/>
      <c r="Q35" s="187"/>
      <c r="R35" s="187"/>
      <c r="S35" s="187"/>
      <c r="T35" s="187"/>
      <c r="U35" s="190"/>
      <c r="V35" s="187"/>
      <c r="W35" s="187"/>
      <c r="X35" s="187"/>
      <c r="Y35" s="187"/>
      <c r="Z35" s="187"/>
      <c r="AA35" s="177"/>
    </row>
    <row r="36" ht="18.75" spans="1:27">
      <c r="A36" s="197"/>
      <c r="B36" s="190"/>
      <c r="C36" s="190"/>
      <c r="D36" s="190"/>
      <c r="E36" s="190"/>
      <c r="F36" s="190"/>
      <c r="G36" s="223" t="s">
        <v>42</v>
      </c>
      <c r="H36" s="199">
        <v>10</v>
      </c>
      <c r="I36" s="200" t="s">
        <v>41</v>
      </c>
      <c r="J36" s="187"/>
      <c r="K36" s="187"/>
      <c r="L36" s="187"/>
      <c r="M36" s="187"/>
      <c r="N36" s="187"/>
      <c r="O36" s="187"/>
      <c r="P36" s="187"/>
      <c r="Q36" s="187"/>
      <c r="R36" s="187"/>
      <c r="S36" s="187"/>
      <c r="T36" s="187"/>
      <c r="U36" s="190"/>
      <c r="V36" s="187"/>
      <c r="W36" s="187"/>
      <c r="X36" s="187"/>
      <c r="Y36" s="187"/>
      <c r="Z36" s="187"/>
      <c r="AA36" s="177"/>
    </row>
    <row r="37" ht="19.5" spans="1:27">
      <c r="A37" s="220"/>
      <c r="B37" s="209"/>
      <c r="C37" s="209"/>
      <c r="D37" s="209"/>
      <c r="E37" s="209"/>
      <c r="F37" s="209"/>
      <c r="G37" s="226" t="s">
        <v>43</v>
      </c>
      <c r="H37" s="227">
        <f>Variable_Management!B134</f>
        <v>7.74596669241483</v>
      </c>
      <c r="I37" s="212" t="s">
        <v>12</v>
      </c>
      <c r="J37" s="187"/>
      <c r="K37" s="187"/>
      <c r="L37" s="187"/>
      <c r="M37" s="187"/>
      <c r="N37" s="187"/>
      <c r="O37" s="187"/>
      <c r="P37" s="187"/>
      <c r="Q37" s="187"/>
      <c r="R37" s="187"/>
      <c r="S37" s="187"/>
      <c r="T37" s="187"/>
      <c r="U37" s="190"/>
      <c r="V37" s="187"/>
      <c r="W37" s="187"/>
      <c r="X37" s="187"/>
      <c r="Y37" s="187"/>
      <c r="Z37" s="187"/>
      <c r="AA37" s="177"/>
    </row>
    <row r="38" spans="1:27">
      <c r="A38" s="187"/>
      <c r="B38" s="187"/>
      <c r="C38" s="187"/>
      <c r="D38" s="187"/>
      <c r="E38" s="187"/>
      <c r="F38" s="187"/>
      <c r="G38" s="188"/>
      <c r="H38" s="187"/>
      <c r="I38" s="187"/>
      <c r="J38" s="187"/>
      <c r="K38" s="187"/>
      <c r="L38" s="187"/>
      <c r="M38" s="187"/>
      <c r="N38" s="187"/>
      <c r="O38" s="187"/>
      <c r="P38" s="187"/>
      <c r="Q38" s="187"/>
      <c r="R38" s="187"/>
      <c r="S38" s="187"/>
      <c r="T38" s="187"/>
      <c r="U38" s="190"/>
      <c r="V38" s="187"/>
      <c r="W38" s="187"/>
      <c r="X38" s="187"/>
      <c r="Y38" s="187"/>
      <c r="Z38" s="187"/>
      <c r="AA38" s="177"/>
    </row>
    <row r="39" ht="15.75" spans="1:27">
      <c r="A39" s="214" t="s">
        <v>44</v>
      </c>
      <c r="B39" s="187"/>
      <c r="C39" s="187"/>
      <c r="D39" s="187"/>
      <c r="E39" s="187"/>
      <c r="F39" s="187"/>
      <c r="G39" s="188"/>
      <c r="H39" s="187"/>
      <c r="I39" s="187"/>
      <c r="J39" s="187"/>
      <c r="K39" s="187"/>
      <c r="L39" s="187"/>
      <c r="M39" s="187"/>
      <c r="N39" s="187"/>
      <c r="O39" s="187"/>
      <c r="P39" s="187"/>
      <c r="Q39" s="187"/>
      <c r="R39" s="187"/>
      <c r="S39" s="187"/>
      <c r="T39" s="187"/>
      <c r="U39" s="190"/>
      <c r="V39" s="187"/>
      <c r="W39" s="187"/>
      <c r="X39" s="187"/>
      <c r="Y39" s="187"/>
      <c r="Z39" s="187"/>
      <c r="AA39" s="177"/>
    </row>
    <row r="40" ht="18.75" spans="1:27">
      <c r="A40" s="192"/>
      <c r="B40" s="193"/>
      <c r="C40" s="193"/>
      <c r="D40" s="193"/>
      <c r="E40" s="193"/>
      <c r="F40" s="193"/>
      <c r="G40" s="229" t="s">
        <v>45</v>
      </c>
      <c r="H40" s="195">
        <v>500</v>
      </c>
      <c r="I40" s="196" t="s">
        <v>46</v>
      </c>
      <c r="J40" s="187"/>
      <c r="K40" s="187"/>
      <c r="L40" s="187"/>
      <c r="M40" s="187"/>
      <c r="N40" s="187"/>
      <c r="O40" s="187"/>
      <c r="P40" s="187"/>
      <c r="Q40" s="187"/>
      <c r="R40" s="187"/>
      <c r="S40" s="187"/>
      <c r="T40" s="187"/>
      <c r="U40" s="190"/>
      <c r="V40" s="187"/>
      <c r="W40" s="187"/>
      <c r="X40" s="187"/>
      <c r="Y40" s="187"/>
      <c r="Z40" s="187"/>
      <c r="AA40" s="177"/>
    </row>
    <row r="41" spans="1:27">
      <c r="A41" s="197"/>
      <c r="B41" s="190"/>
      <c r="C41" s="190"/>
      <c r="D41" s="190"/>
      <c r="E41" s="190"/>
      <c r="F41" s="190"/>
      <c r="G41" s="223" t="s">
        <v>47</v>
      </c>
      <c r="H41" s="201">
        <f>Cout_min*10^6</f>
        <v>1380</v>
      </c>
      <c r="I41" s="200" t="s">
        <v>41</v>
      </c>
      <c r="J41" s="187"/>
      <c r="K41" s="187"/>
      <c r="L41" s="187"/>
      <c r="M41" s="187"/>
      <c r="N41" s="187"/>
      <c r="O41" s="187"/>
      <c r="P41" s="187"/>
      <c r="Q41" s="187"/>
      <c r="R41" s="187"/>
      <c r="S41" s="187"/>
      <c r="T41" s="187"/>
      <c r="U41" s="190"/>
      <c r="V41" s="187"/>
      <c r="W41" s="187"/>
      <c r="X41" s="187"/>
      <c r="Y41" s="187"/>
      <c r="Z41" s="187"/>
      <c r="AA41" s="177"/>
    </row>
    <row r="42" ht="18.75" spans="1:27">
      <c r="A42" s="197"/>
      <c r="B42" s="190"/>
      <c r="C42" s="190"/>
      <c r="D42" s="190"/>
      <c r="E42" s="190"/>
      <c r="F42" s="190"/>
      <c r="G42" s="223" t="s">
        <v>48</v>
      </c>
      <c r="H42" s="201">
        <f>IRMS_COUT</f>
        <v>7.74596669241483</v>
      </c>
      <c r="I42" s="200" t="s">
        <v>12</v>
      </c>
      <c r="J42" s="187"/>
      <c r="K42" s="187"/>
      <c r="L42" s="187"/>
      <c r="M42" s="187"/>
      <c r="N42" s="187"/>
      <c r="O42" s="187"/>
      <c r="P42" s="187"/>
      <c r="Q42" s="187"/>
      <c r="R42" s="187"/>
      <c r="S42" s="187"/>
      <c r="T42" s="187"/>
      <c r="U42" s="190"/>
      <c r="V42" s="187"/>
      <c r="W42" s="187"/>
      <c r="X42" s="187"/>
      <c r="Y42" s="187"/>
      <c r="Z42" s="187"/>
      <c r="AA42" s="177"/>
    </row>
    <row r="43" ht="18.75" spans="1:27">
      <c r="A43" s="197"/>
      <c r="B43" s="190"/>
      <c r="C43" s="190"/>
      <c r="D43" s="190"/>
      <c r="E43" s="190"/>
      <c r="F43" s="190"/>
      <c r="G43" s="223" t="s">
        <v>49</v>
      </c>
      <c r="H43" s="199">
        <v>560</v>
      </c>
      <c r="I43" s="200" t="s">
        <v>41</v>
      </c>
      <c r="J43" s="187"/>
      <c r="K43" s="187"/>
      <c r="L43" s="187"/>
      <c r="M43" s="187"/>
      <c r="N43" s="187"/>
      <c r="O43" s="187"/>
      <c r="P43" s="187"/>
      <c r="Q43" s="187"/>
      <c r="R43" s="187"/>
      <c r="S43" s="187"/>
      <c r="T43" s="187"/>
      <c r="U43" s="190"/>
      <c r="V43" s="187"/>
      <c r="W43" s="187"/>
      <c r="X43" s="187"/>
      <c r="Y43" s="187"/>
      <c r="Z43" s="187"/>
      <c r="AA43" s="177"/>
    </row>
    <row r="44" ht="19.5" spans="1:27">
      <c r="A44" s="220"/>
      <c r="B44" s="209"/>
      <c r="C44" s="209"/>
      <c r="D44" s="209"/>
      <c r="E44" s="209"/>
      <c r="F44" s="209"/>
      <c r="G44" s="226" t="s">
        <v>50</v>
      </c>
      <c r="H44" s="231">
        <v>28</v>
      </c>
      <c r="I44" s="212" t="s">
        <v>33</v>
      </c>
      <c r="J44" s="187"/>
      <c r="K44" s="187"/>
      <c r="L44" s="187"/>
      <c r="M44" s="187"/>
      <c r="N44" s="187"/>
      <c r="O44" s="187"/>
      <c r="P44" s="187"/>
      <c r="Q44" s="187"/>
      <c r="R44" s="187"/>
      <c r="S44" s="187"/>
      <c r="T44" s="187"/>
      <c r="U44" s="190"/>
      <c r="V44" s="187"/>
      <c r="W44" s="187"/>
      <c r="X44" s="187"/>
      <c r="Y44" s="187"/>
      <c r="Z44" s="187"/>
      <c r="AA44" s="177"/>
    </row>
    <row r="45" spans="1:27">
      <c r="A45" s="187"/>
      <c r="B45" s="187"/>
      <c r="C45" s="187"/>
      <c r="D45" s="187"/>
      <c r="E45" s="187"/>
      <c r="F45" s="187"/>
      <c r="G45" s="188"/>
      <c r="H45" s="187"/>
      <c r="I45" s="187"/>
      <c r="J45" s="187"/>
      <c r="K45" s="187"/>
      <c r="L45" s="187"/>
      <c r="M45" s="187"/>
      <c r="N45" s="187"/>
      <c r="O45" s="187"/>
      <c r="P45" s="187"/>
      <c r="Q45" s="187"/>
      <c r="R45" s="187"/>
      <c r="S45" s="187"/>
      <c r="T45" s="187"/>
      <c r="U45" s="190"/>
      <c r="V45" s="187"/>
      <c r="W45" s="187"/>
      <c r="X45" s="187"/>
      <c r="Y45" s="187"/>
      <c r="Z45" s="187"/>
      <c r="AA45" s="177"/>
    </row>
    <row r="46" spans="1:27">
      <c r="A46" s="214"/>
      <c r="B46" s="190"/>
      <c r="C46" s="190"/>
      <c r="D46" s="190"/>
      <c r="E46" s="190"/>
      <c r="F46" s="190"/>
      <c r="G46" s="223"/>
      <c r="H46" s="190"/>
      <c r="I46" s="190"/>
      <c r="J46" s="190"/>
      <c r="K46" s="187"/>
      <c r="L46" s="187"/>
      <c r="M46" s="187"/>
      <c r="N46" s="187"/>
      <c r="O46" s="187"/>
      <c r="P46" s="187"/>
      <c r="Q46" s="187"/>
      <c r="R46" s="187"/>
      <c r="S46" s="187"/>
      <c r="T46" s="187"/>
      <c r="U46" s="190"/>
      <c r="V46" s="187"/>
      <c r="W46" s="187"/>
      <c r="X46" s="187"/>
      <c r="Y46" s="187"/>
      <c r="Z46" s="187"/>
      <c r="AA46" s="177"/>
    </row>
    <row r="47" spans="1:27">
      <c r="A47" s="190"/>
      <c r="B47" s="190"/>
      <c r="C47" s="190"/>
      <c r="D47" s="190"/>
      <c r="E47" s="190"/>
      <c r="F47" s="190"/>
      <c r="G47" s="223"/>
      <c r="H47" s="232"/>
      <c r="I47" s="190"/>
      <c r="J47" s="190"/>
      <c r="K47" s="187"/>
      <c r="L47" s="187"/>
      <c r="M47" s="187"/>
      <c r="N47" s="187"/>
      <c r="O47" s="187"/>
      <c r="P47" s="187"/>
      <c r="Q47" s="187"/>
      <c r="R47" s="187"/>
      <c r="S47" s="187"/>
      <c r="T47" s="187"/>
      <c r="U47" s="190"/>
      <c r="V47" s="187"/>
      <c r="W47" s="187"/>
      <c r="X47" s="187"/>
      <c r="Y47" s="187"/>
      <c r="Z47" s="187"/>
      <c r="AA47" s="177"/>
    </row>
    <row r="48" spans="1:27">
      <c r="A48" s="190"/>
      <c r="B48" s="190"/>
      <c r="C48" s="190"/>
      <c r="D48" s="190"/>
      <c r="E48" s="190"/>
      <c r="F48" s="190"/>
      <c r="G48" s="223"/>
      <c r="H48" s="190"/>
      <c r="I48" s="190"/>
      <c r="J48" s="190"/>
      <c r="K48" s="187"/>
      <c r="L48" s="187"/>
      <c r="M48" s="187"/>
      <c r="N48" s="187"/>
      <c r="O48" s="187"/>
      <c r="P48" s="187"/>
      <c r="Q48" s="187"/>
      <c r="R48" s="187"/>
      <c r="S48" s="187"/>
      <c r="T48" s="187"/>
      <c r="U48" s="190"/>
      <c r="V48" s="187"/>
      <c r="W48" s="187"/>
      <c r="X48" s="187"/>
      <c r="Y48" s="187"/>
      <c r="Z48" s="187"/>
      <c r="AA48" s="177"/>
    </row>
    <row r="49" spans="1:27">
      <c r="A49" s="190"/>
      <c r="B49" s="190"/>
      <c r="C49" s="190"/>
      <c r="D49" s="190"/>
      <c r="E49" s="190"/>
      <c r="F49" s="190"/>
      <c r="G49" s="223"/>
      <c r="H49" s="233"/>
      <c r="I49" s="190"/>
      <c r="J49" s="190"/>
      <c r="K49" s="187"/>
      <c r="L49" s="187"/>
      <c r="M49" s="187"/>
      <c r="N49" s="187"/>
      <c r="O49" s="187"/>
      <c r="P49" s="187"/>
      <c r="Q49" s="187"/>
      <c r="R49" s="187"/>
      <c r="S49" s="187"/>
      <c r="T49" s="187"/>
      <c r="U49" s="190"/>
      <c r="V49" s="187"/>
      <c r="W49" s="187"/>
      <c r="X49" s="187"/>
      <c r="Y49" s="187"/>
      <c r="Z49" s="187"/>
      <c r="AA49" s="177"/>
    </row>
    <row r="50" spans="1:27">
      <c r="A50" s="190"/>
      <c r="B50" s="190"/>
      <c r="C50" s="190"/>
      <c r="D50" s="190"/>
      <c r="E50" s="190"/>
      <c r="F50" s="190"/>
      <c r="G50" s="223"/>
      <c r="H50" s="190"/>
      <c r="I50" s="190"/>
      <c r="J50" s="187"/>
      <c r="K50" s="187"/>
      <c r="L50" s="187"/>
      <c r="M50" s="187"/>
      <c r="N50" s="187"/>
      <c r="O50" s="187"/>
      <c r="P50" s="187"/>
      <c r="Q50" s="187"/>
      <c r="R50" s="187"/>
      <c r="S50" s="187"/>
      <c r="T50" s="187"/>
      <c r="U50" s="190"/>
      <c r="V50" s="187"/>
      <c r="W50" s="187"/>
      <c r="X50" s="187"/>
      <c r="Y50" s="187"/>
      <c r="Z50" s="187"/>
      <c r="AA50" s="177"/>
    </row>
    <row r="51" spans="1:27">
      <c r="A51" s="214"/>
      <c r="B51" s="190"/>
      <c r="C51" s="190"/>
      <c r="D51" s="190"/>
      <c r="E51" s="190"/>
      <c r="F51" s="190"/>
      <c r="G51" s="223"/>
      <c r="H51" s="190"/>
      <c r="I51" s="190"/>
      <c r="J51" s="187"/>
      <c r="K51" s="187"/>
      <c r="L51" s="187"/>
      <c r="M51" s="187"/>
      <c r="N51" s="187"/>
      <c r="O51" s="187"/>
      <c r="P51" s="187"/>
      <c r="Q51" s="187"/>
      <c r="R51" s="187"/>
      <c r="S51" s="187"/>
      <c r="T51" s="187"/>
      <c r="U51" s="190"/>
      <c r="V51" s="187"/>
      <c r="W51" s="187"/>
      <c r="X51" s="187"/>
      <c r="Y51" s="187"/>
      <c r="Z51" s="187"/>
      <c r="AA51" s="177"/>
    </row>
    <row r="52" spans="1:27">
      <c r="A52" s="190"/>
      <c r="B52" s="190"/>
      <c r="C52" s="190"/>
      <c r="D52" s="190"/>
      <c r="E52" s="190"/>
      <c r="F52" s="190"/>
      <c r="G52" s="223"/>
      <c r="H52" s="190"/>
      <c r="I52" s="190"/>
      <c r="J52" s="187"/>
      <c r="K52" s="187"/>
      <c r="L52" s="187"/>
      <c r="M52" s="187"/>
      <c r="N52" s="187"/>
      <c r="O52" s="187"/>
      <c r="P52" s="187"/>
      <c r="Q52" s="187"/>
      <c r="R52" s="187"/>
      <c r="S52" s="187"/>
      <c r="T52" s="187"/>
      <c r="U52" s="190"/>
      <c r="V52" s="187"/>
      <c r="W52" s="187"/>
      <c r="X52" s="187"/>
      <c r="Y52" s="187"/>
      <c r="Z52" s="187"/>
      <c r="AA52" s="177"/>
    </row>
    <row r="53" spans="1:27">
      <c r="A53" s="190"/>
      <c r="B53" s="190"/>
      <c r="C53" s="190"/>
      <c r="D53" s="190"/>
      <c r="E53" s="190"/>
      <c r="F53" s="190"/>
      <c r="G53" s="223"/>
      <c r="H53" s="190"/>
      <c r="I53" s="190"/>
      <c r="J53" s="187"/>
      <c r="K53" s="187"/>
      <c r="L53" s="187"/>
      <c r="M53" s="187"/>
      <c r="N53" s="187"/>
      <c r="O53" s="187"/>
      <c r="P53" s="187"/>
      <c r="Q53" s="234">
        <f>VIN_min</f>
        <v>3</v>
      </c>
      <c r="R53" s="187"/>
      <c r="S53" s="187"/>
      <c r="T53" s="187"/>
      <c r="U53" s="190"/>
      <c r="V53" s="187"/>
      <c r="W53" s="187"/>
      <c r="X53" s="187"/>
      <c r="Y53" s="187"/>
      <c r="Z53" s="187"/>
      <c r="AA53" s="177"/>
    </row>
    <row r="54" spans="1:27">
      <c r="A54" s="190"/>
      <c r="B54" s="190"/>
      <c r="C54" s="190"/>
      <c r="D54" s="190"/>
      <c r="E54" s="190"/>
      <c r="F54" s="190"/>
      <c r="G54" s="223"/>
      <c r="H54" s="232"/>
      <c r="I54" s="235"/>
      <c r="J54" s="187"/>
      <c r="K54" s="187"/>
      <c r="L54" s="187"/>
      <c r="M54" s="187"/>
      <c r="N54" s="187"/>
      <c r="O54" s="187"/>
      <c r="P54" s="187"/>
      <c r="Q54" s="187"/>
      <c r="R54" s="187"/>
      <c r="S54" s="187"/>
      <c r="T54" s="187"/>
      <c r="U54" s="190"/>
      <c r="V54" s="187"/>
      <c r="W54" s="187"/>
      <c r="X54" s="187"/>
      <c r="Y54" s="187"/>
      <c r="Z54" s="187"/>
      <c r="AA54" s="177"/>
    </row>
    <row r="55" spans="1:27">
      <c r="A55" s="190"/>
      <c r="B55" s="190"/>
      <c r="C55" s="190"/>
      <c r="D55" s="190"/>
      <c r="E55" s="190"/>
      <c r="F55" s="190"/>
      <c r="G55" s="223"/>
      <c r="H55" s="190"/>
      <c r="I55" s="235"/>
      <c r="J55" s="187"/>
      <c r="K55" s="187"/>
      <c r="L55" s="187"/>
      <c r="M55" s="187"/>
      <c r="N55" s="187"/>
      <c r="O55" s="187"/>
      <c r="P55" s="187"/>
      <c r="Q55" s="187"/>
      <c r="R55" s="187"/>
      <c r="S55" s="187"/>
      <c r="T55" s="187"/>
      <c r="U55" s="190"/>
      <c r="V55" s="187"/>
      <c r="W55" s="187"/>
      <c r="X55" s="187"/>
      <c r="Y55" s="187"/>
      <c r="Z55" s="187"/>
      <c r="AA55" s="177"/>
    </row>
    <row r="56" spans="1:27">
      <c r="A56" s="190"/>
      <c r="B56" s="190"/>
      <c r="C56" s="190"/>
      <c r="D56" s="190"/>
      <c r="E56" s="190"/>
      <c r="F56" s="190"/>
      <c r="G56" s="223"/>
      <c r="H56" s="236"/>
      <c r="I56" s="235"/>
      <c r="J56" s="187"/>
      <c r="K56" s="187"/>
      <c r="L56" s="187"/>
      <c r="M56" s="187"/>
      <c r="N56" s="187"/>
      <c r="O56" s="187"/>
      <c r="P56" s="187"/>
      <c r="Q56" s="187"/>
      <c r="R56" s="187"/>
      <c r="S56" s="187"/>
      <c r="T56" s="187"/>
      <c r="U56" s="190"/>
      <c r="V56" s="187"/>
      <c r="W56" s="187"/>
      <c r="X56" s="187"/>
      <c r="Y56" s="187"/>
      <c r="Z56" s="187"/>
      <c r="AA56" s="177"/>
    </row>
    <row r="57" spans="1:27">
      <c r="A57" s="190"/>
      <c r="B57" s="190"/>
      <c r="C57" s="190"/>
      <c r="D57" s="190"/>
      <c r="E57" s="190"/>
      <c r="F57" s="190"/>
      <c r="G57" s="223"/>
      <c r="H57" s="190"/>
      <c r="I57" s="190"/>
      <c r="J57" s="187"/>
      <c r="K57" s="187"/>
      <c r="L57" s="187"/>
      <c r="M57" s="187"/>
      <c r="N57" s="187"/>
      <c r="O57" s="187"/>
      <c r="P57" s="187"/>
      <c r="Q57" s="187"/>
      <c r="R57" s="187"/>
      <c r="S57" s="187"/>
      <c r="T57" s="187"/>
      <c r="U57" s="190"/>
      <c r="V57" s="187"/>
      <c r="W57" s="187"/>
      <c r="X57" s="187"/>
      <c r="Y57" s="187"/>
      <c r="Z57" s="187"/>
      <c r="AA57" s="177"/>
    </row>
    <row r="58" ht="15.75" spans="1:27">
      <c r="A58" s="214" t="s">
        <v>51</v>
      </c>
      <c r="B58" s="187"/>
      <c r="C58" s="187"/>
      <c r="D58" s="187"/>
      <c r="E58" s="187"/>
      <c r="F58" s="187"/>
      <c r="G58" s="187"/>
      <c r="H58" s="187"/>
      <c r="I58" s="187"/>
      <c r="J58" s="187"/>
      <c r="K58" s="187"/>
      <c r="L58" s="187"/>
      <c r="M58" s="187"/>
      <c r="N58" s="187"/>
      <c r="O58" s="187"/>
      <c r="P58" s="187"/>
      <c r="Q58" s="187"/>
      <c r="R58" s="187"/>
      <c r="S58" s="187"/>
      <c r="T58" s="187"/>
      <c r="U58" s="190"/>
      <c r="V58" s="187"/>
      <c r="W58" s="187"/>
      <c r="X58" s="187"/>
      <c r="Y58" s="187"/>
      <c r="Z58" s="187"/>
      <c r="AA58" s="177"/>
    </row>
    <row r="59" ht="18.75" spans="1:27">
      <c r="A59" s="215"/>
      <c r="B59" s="193"/>
      <c r="C59" s="193"/>
      <c r="D59" s="193"/>
      <c r="E59" s="193"/>
      <c r="F59" s="193"/>
      <c r="G59" s="237" t="s">
        <v>52</v>
      </c>
      <c r="H59" s="238" t="str">
        <f>VIN_var&amp;"V"</f>
        <v>4V</v>
      </c>
      <c r="I59" s="196"/>
      <c r="J59" s="187"/>
      <c r="K59" s="187"/>
      <c r="L59" s="187"/>
      <c r="M59" s="187"/>
      <c r="N59" s="187"/>
      <c r="O59" s="187"/>
      <c r="P59" s="187"/>
      <c r="Q59" s="187"/>
      <c r="R59" s="187"/>
      <c r="S59" s="187"/>
      <c r="T59" s="187"/>
      <c r="U59" s="190"/>
      <c r="V59" s="187"/>
      <c r="W59" s="187"/>
      <c r="X59" s="187"/>
      <c r="Y59" s="187"/>
      <c r="Z59" s="187"/>
      <c r="AA59" s="177"/>
    </row>
    <row r="60" spans="1:27">
      <c r="A60" s="197"/>
      <c r="B60" s="190"/>
      <c r="C60" s="190"/>
      <c r="D60" s="190"/>
      <c r="E60" s="190"/>
      <c r="F60" s="190"/>
      <c r="G60" s="190"/>
      <c r="H60" s="239"/>
      <c r="I60" s="200"/>
      <c r="J60" s="187"/>
      <c r="K60" s="187"/>
      <c r="L60" s="187"/>
      <c r="M60" s="187"/>
      <c r="N60" s="187"/>
      <c r="O60" s="187"/>
      <c r="P60" s="187"/>
      <c r="Q60" s="187"/>
      <c r="R60" s="187"/>
      <c r="S60" s="187"/>
      <c r="T60" s="187"/>
      <c r="U60" s="190"/>
      <c r="V60" s="187"/>
      <c r="W60" s="187"/>
      <c r="X60" s="187"/>
      <c r="Y60" s="187"/>
      <c r="Z60" s="187"/>
      <c r="AA60" s="177"/>
    </row>
    <row r="61" spans="1:27">
      <c r="A61" s="240"/>
      <c r="B61" s="190"/>
      <c r="C61" s="190"/>
      <c r="D61" s="190"/>
      <c r="E61" s="190"/>
      <c r="F61" s="190"/>
      <c r="G61" s="241" t="s">
        <v>53</v>
      </c>
      <c r="H61" s="202"/>
      <c r="I61" s="200"/>
      <c r="J61" s="187"/>
      <c r="K61" s="187"/>
      <c r="L61" s="187"/>
      <c r="M61" s="187"/>
      <c r="N61" s="187"/>
      <c r="O61" s="187"/>
      <c r="P61" s="187"/>
      <c r="Q61" s="187"/>
      <c r="R61" s="187"/>
      <c r="S61" s="187"/>
      <c r="T61" s="187"/>
      <c r="U61" s="190"/>
      <c r="V61" s="187"/>
      <c r="W61" s="187"/>
      <c r="X61" s="187"/>
      <c r="Y61" s="187"/>
      <c r="Z61" s="187"/>
      <c r="AA61" s="177"/>
    </row>
    <row r="62" ht="18.75" spans="1:27">
      <c r="A62" s="240"/>
      <c r="B62" s="190"/>
      <c r="C62" s="190"/>
      <c r="D62" s="190"/>
      <c r="E62" s="190"/>
      <c r="F62" s="190"/>
      <c r="G62" s="223" t="s">
        <v>54</v>
      </c>
      <c r="H62" s="199">
        <v>15</v>
      </c>
      <c r="I62" s="225" t="s">
        <v>55</v>
      </c>
      <c r="J62" s="187"/>
      <c r="K62" s="187"/>
      <c r="L62" s="187"/>
      <c r="M62" s="187"/>
      <c r="N62" s="187"/>
      <c r="O62" s="187"/>
      <c r="P62" s="187"/>
      <c r="Q62" s="187"/>
      <c r="R62" s="187"/>
      <c r="S62" s="187"/>
      <c r="T62" s="187"/>
      <c r="U62" s="190"/>
      <c r="V62" s="187"/>
      <c r="W62" s="187"/>
      <c r="X62" s="187"/>
      <c r="Y62" s="187"/>
      <c r="Z62" s="187"/>
      <c r="AA62" s="177"/>
    </row>
    <row r="63" ht="18.75" spans="1:27">
      <c r="A63" s="240"/>
      <c r="B63" s="190"/>
      <c r="C63" s="190"/>
      <c r="D63" s="190"/>
      <c r="E63" s="190"/>
      <c r="F63" s="190"/>
      <c r="G63" s="223" t="s">
        <v>56</v>
      </c>
      <c r="H63" s="219">
        <f>RFBB_calc/1000</f>
        <v>1.008537886873</v>
      </c>
      <c r="I63" s="225" t="s">
        <v>55</v>
      </c>
      <c r="J63" s="187"/>
      <c r="K63" s="187"/>
      <c r="L63" s="187"/>
      <c r="M63" s="187"/>
      <c r="N63" s="187"/>
      <c r="O63" s="187"/>
      <c r="P63" s="187"/>
      <c r="Q63" s="187"/>
      <c r="R63" s="187"/>
      <c r="S63" s="187"/>
      <c r="T63" s="187"/>
      <c r="U63" s="190"/>
      <c r="V63" s="187"/>
      <c r="W63" s="187"/>
      <c r="X63" s="187"/>
      <c r="Y63" s="187"/>
      <c r="Z63" s="187"/>
      <c r="AA63" s="177"/>
    </row>
    <row r="64" ht="18.75" spans="1:27">
      <c r="A64" s="240"/>
      <c r="B64" s="190"/>
      <c r="C64" s="190"/>
      <c r="D64" s="190"/>
      <c r="E64" s="190"/>
      <c r="F64" s="190"/>
      <c r="G64" s="223" t="s">
        <v>57</v>
      </c>
      <c r="H64" s="199">
        <v>5.05</v>
      </c>
      <c r="I64" s="225" t="s">
        <v>55</v>
      </c>
      <c r="J64" s="187"/>
      <c r="K64" s="187"/>
      <c r="L64" s="187"/>
      <c r="M64" s="187"/>
      <c r="N64" s="187"/>
      <c r="O64" s="187"/>
      <c r="P64" s="187"/>
      <c r="Q64" s="187"/>
      <c r="R64" s="187"/>
      <c r="S64" s="187"/>
      <c r="T64" s="187"/>
      <c r="U64" s="190"/>
      <c r="V64" s="187"/>
      <c r="W64" s="187"/>
      <c r="X64" s="187"/>
      <c r="Y64" s="187"/>
      <c r="Z64" s="187"/>
      <c r="AA64" s="177"/>
    </row>
    <row r="65" spans="1:27">
      <c r="A65" s="197"/>
      <c r="B65" s="190"/>
      <c r="C65" s="190"/>
      <c r="D65" s="190"/>
      <c r="E65" s="190"/>
      <c r="F65" s="190"/>
      <c r="G65" s="223"/>
      <c r="H65" s="202"/>
      <c r="I65" s="200"/>
      <c r="J65" s="187"/>
      <c r="K65" s="187"/>
      <c r="L65" s="187"/>
      <c r="M65" s="187"/>
      <c r="N65" s="187"/>
      <c r="O65" s="187"/>
      <c r="P65" s="187"/>
      <c r="Q65" s="187"/>
      <c r="R65" s="187"/>
      <c r="S65" s="187"/>
      <c r="T65" s="187"/>
      <c r="U65" s="190"/>
      <c r="V65" s="187"/>
      <c r="W65" s="187"/>
      <c r="X65" s="187"/>
      <c r="Y65" s="187"/>
      <c r="Z65" s="187"/>
      <c r="AA65" s="177"/>
    </row>
    <row r="66" spans="1:27">
      <c r="A66" s="197"/>
      <c r="B66" s="190"/>
      <c r="C66" s="190"/>
      <c r="D66" s="190"/>
      <c r="E66" s="190"/>
      <c r="F66" s="190"/>
      <c r="G66" s="223"/>
      <c r="H66" s="202"/>
      <c r="I66" s="200"/>
      <c r="J66" s="187"/>
      <c r="K66" s="187"/>
      <c r="L66" s="187"/>
      <c r="M66" s="187"/>
      <c r="N66" s="187"/>
      <c r="O66" s="187"/>
      <c r="P66" s="187"/>
      <c r="Q66" s="187"/>
      <c r="R66" s="187"/>
      <c r="S66" s="187"/>
      <c r="T66" s="187"/>
      <c r="U66" s="190"/>
      <c r="V66" s="187"/>
      <c r="W66" s="187"/>
      <c r="X66" s="187"/>
      <c r="Y66" s="187"/>
      <c r="Z66" s="187"/>
      <c r="AA66" s="177"/>
    </row>
    <row r="67" spans="1:27">
      <c r="A67" s="197"/>
      <c r="B67" s="190"/>
      <c r="C67" s="190"/>
      <c r="D67" s="190"/>
      <c r="E67" s="190"/>
      <c r="F67" s="190"/>
      <c r="G67" s="223" t="s">
        <v>58</v>
      </c>
      <c r="H67" s="242">
        <f>fcross_est/1000</f>
        <v>0.345989006721512</v>
      </c>
      <c r="I67" s="200" t="s">
        <v>14</v>
      </c>
      <c r="J67" s="187"/>
      <c r="K67" s="187"/>
      <c r="L67" s="187"/>
      <c r="M67" s="187"/>
      <c r="N67" s="187"/>
      <c r="O67" s="187"/>
      <c r="P67" s="187"/>
      <c r="Q67" s="187"/>
      <c r="R67" s="187"/>
      <c r="S67" s="187"/>
      <c r="T67" s="187"/>
      <c r="U67" s="190"/>
      <c r="V67" s="187"/>
      <c r="W67" s="187"/>
      <c r="X67" s="187"/>
      <c r="Y67" s="187"/>
      <c r="Z67" s="187"/>
      <c r="AA67" s="177"/>
    </row>
    <row r="68" ht="18.75" spans="1:27">
      <c r="A68" s="197"/>
      <c r="B68" s="190"/>
      <c r="C68" s="190"/>
      <c r="D68" s="190"/>
      <c r="E68" s="190"/>
      <c r="F68" s="190"/>
      <c r="G68" s="223" t="s">
        <v>59</v>
      </c>
      <c r="H68" s="199">
        <v>0.7</v>
      </c>
      <c r="I68" s="200" t="s">
        <v>14</v>
      </c>
      <c r="J68" s="187"/>
      <c r="K68" s="187"/>
      <c r="L68" s="187"/>
      <c r="M68" s="187"/>
      <c r="N68" s="187"/>
      <c r="O68" s="187"/>
      <c r="P68" s="187"/>
      <c r="Q68" s="187"/>
      <c r="R68" s="187"/>
      <c r="S68" s="187"/>
      <c r="T68" s="187"/>
      <c r="U68" s="190"/>
      <c r="V68" s="187"/>
      <c r="W68" s="187"/>
      <c r="X68" s="187"/>
      <c r="Y68" s="187"/>
      <c r="Z68" s="187"/>
      <c r="AA68" s="177"/>
    </row>
    <row r="69" spans="1:27">
      <c r="A69" s="197"/>
      <c r="B69" s="190"/>
      <c r="C69" s="190"/>
      <c r="D69" s="190"/>
      <c r="E69" s="190"/>
      <c r="F69" s="190"/>
      <c r="G69" s="223"/>
      <c r="H69" s="202"/>
      <c r="I69" s="200"/>
      <c r="J69" s="187"/>
      <c r="K69" s="187"/>
      <c r="L69" s="187"/>
      <c r="M69" s="187"/>
      <c r="N69" s="187"/>
      <c r="O69" s="187"/>
      <c r="P69" s="187"/>
      <c r="Q69" s="187"/>
      <c r="R69" s="187"/>
      <c r="S69" s="187"/>
      <c r="T69" s="187"/>
      <c r="U69" s="190"/>
      <c r="V69" s="187"/>
      <c r="W69" s="187"/>
      <c r="X69" s="187"/>
      <c r="Y69" s="187"/>
      <c r="Z69" s="187"/>
      <c r="AA69" s="177"/>
    </row>
    <row r="70" ht="15.75" spans="1:27">
      <c r="A70" s="197"/>
      <c r="B70" s="190"/>
      <c r="C70" s="190"/>
      <c r="D70" s="190"/>
      <c r="E70" s="190"/>
      <c r="F70" s="243" t="s">
        <v>60</v>
      </c>
      <c r="G70" s="243"/>
      <c r="H70" s="244" t="s">
        <v>61</v>
      </c>
      <c r="I70" s="245"/>
      <c r="J70" s="187"/>
      <c r="K70" s="187"/>
      <c r="L70" s="187"/>
      <c r="M70" s="187"/>
      <c r="N70" s="187"/>
      <c r="O70" s="187"/>
      <c r="P70" s="187"/>
      <c r="Q70" s="187"/>
      <c r="R70" s="187"/>
      <c r="S70" s="187"/>
      <c r="T70" s="187"/>
      <c r="U70" s="190"/>
      <c r="V70" s="187"/>
      <c r="W70" s="187"/>
      <c r="X70" s="187"/>
      <c r="Y70" s="187"/>
      <c r="Z70" s="187"/>
      <c r="AA70" s="177"/>
    </row>
    <row r="71" ht="19.5" spans="1:27">
      <c r="A71" s="197"/>
      <c r="B71" s="190"/>
      <c r="C71" s="190"/>
      <c r="D71" s="190"/>
      <c r="E71" s="223" t="s">
        <v>62</v>
      </c>
      <c r="F71" s="246">
        <f>RCOMP_Calc/1000</f>
        <v>4.16293347512721</v>
      </c>
      <c r="G71" s="247" t="s">
        <v>55</v>
      </c>
      <c r="H71" s="248">
        <v>2.5</v>
      </c>
      <c r="I71" s="225" t="s">
        <v>55</v>
      </c>
      <c r="J71" s="187"/>
      <c r="K71" s="187"/>
      <c r="L71" s="187"/>
      <c r="M71" s="187"/>
      <c r="N71" s="187"/>
      <c r="O71" s="187"/>
      <c r="P71" s="187"/>
      <c r="Q71" s="187"/>
      <c r="R71" s="187"/>
      <c r="S71" s="187"/>
      <c r="T71" s="187"/>
      <c r="U71" s="190"/>
      <c r="V71" s="187"/>
      <c r="W71" s="187"/>
      <c r="X71" s="187"/>
      <c r="Y71" s="187"/>
      <c r="Z71" s="187"/>
      <c r="AA71" s="177"/>
    </row>
    <row r="72" ht="19.5" spans="1:27">
      <c r="A72" s="197"/>
      <c r="B72" s="190"/>
      <c r="C72" s="190"/>
      <c r="D72" s="190"/>
      <c r="E72" s="223" t="s">
        <v>63</v>
      </c>
      <c r="F72" s="249">
        <f>CCOMP_Calc*(10^9)</f>
        <v>161.860042174292</v>
      </c>
      <c r="G72" s="247" t="s">
        <v>64</v>
      </c>
      <c r="H72" s="248">
        <v>220</v>
      </c>
      <c r="I72" s="200" t="s">
        <v>64</v>
      </c>
      <c r="J72" s="187"/>
      <c r="K72" s="187"/>
      <c r="L72" s="187"/>
      <c r="M72" s="187"/>
      <c r="N72" s="187"/>
      <c r="O72" s="187"/>
      <c r="P72" s="187"/>
      <c r="Q72" s="187"/>
      <c r="R72" s="187"/>
      <c r="S72" s="187"/>
      <c r="T72" s="187"/>
      <c r="U72" s="190"/>
      <c r="V72" s="187"/>
      <c r="W72" s="187"/>
      <c r="X72" s="187"/>
      <c r="Y72" s="187"/>
      <c r="Z72" s="187"/>
      <c r="AA72" s="177"/>
    </row>
    <row r="73" ht="19.5" spans="1:27">
      <c r="A73" s="220"/>
      <c r="B73" s="209"/>
      <c r="C73" s="209"/>
      <c r="D73" s="209"/>
      <c r="E73" s="226" t="s">
        <v>65</v>
      </c>
      <c r="F73" s="250">
        <f>CHF_calc*(10^12)</f>
        <v>18416.5005577765</v>
      </c>
      <c r="G73" s="251" t="s">
        <v>66</v>
      </c>
      <c r="H73" s="231">
        <v>4700</v>
      </c>
      <c r="I73" s="212" t="s">
        <v>66</v>
      </c>
      <c r="J73" s="187"/>
      <c r="K73" s="187"/>
      <c r="L73" s="187"/>
      <c r="M73" s="187"/>
      <c r="N73" s="187"/>
      <c r="O73" s="187"/>
      <c r="P73" s="187"/>
      <c r="Q73" s="187"/>
      <c r="R73" s="187"/>
      <c r="S73" s="187"/>
      <c r="T73" s="187"/>
      <c r="U73" s="190"/>
      <c r="V73" s="187"/>
      <c r="W73" s="187"/>
      <c r="X73" s="187"/>
      <c r="Y73" s="187"/>
      <c r="Z73" s="187"/>
      <c r="AA73" s="177"/>
    </row>
    <row r="74" spans="1:27">
      <c r="A74" s="187"/>
      <c r="B74" s="187"/>
      <c r="C74" s="187"/>
      <c r="D74" s="187"/>
      <c r="E74" s="188"/>
      <c r="F74" s="252"/>
      <c r="G74" s="188"/>
      <c r="H74" s="253"/>
      <c r="I74" s="187"/>
      <c r="J74" s="187"/>
      <c r="K74" s="187"/>
      <c r="L74" s="187"/>
      <c r="M74" s="187"/>
      <c r="N74" s="187"/>
      <c r="O74" s="187"/>
      <c r="P74" s="187"/>
      <c r="Q74" s="187"/>
      <c r="R74" s="187"/>
      <c r="S74" s="187"/>
      <c r="T74" s="187"/>
      <c r="U74" s="190"/>
      <c r="V74" s="187"/>
      <c r="W74" s="187"/>
      <c r="X74" s="187"/>
      <c r="Y74" s="187"/>
      <c r="Z74" s="187"/>
      <c r="AA74" s="177"/>
    </row>
    <row r="75" ht="23.25" spans="1:27">
      <c r="A75" s="254" t="s">
        <v>67</v>
      </c>
      <c r="B75" s="255"/>
      <c r="C75" s="255"/>
      <c r="D75" s="255"/>
      <c r="E75" s="255"/>
      <c r="F75" s="255"/>
      <c r="G75" s="256"/>
      <c r="H75" s="255"/>
      <c r="I75" s="255"/>
      <c r="J75" s="255"/>
      <c r="K75" s="255"/>
      <c r="L75" s="255"/>
      <c r="M75" s="255"/>
      <c r="N75" s="255"/>
      <c r="O75" s="255"/>
      <c r="P75" s="255"/>
      <c r="Q75" s="255"/>
      <c r="R75" s="255"/>
      <c r="S75" s="255"/>
      <c r="T75" s="257"/>
      <c r="U75" s="258"/>
      <c r="V75" s="257"/>
      <c r="W75" s="257"/>
      <c r="X75" s="257"/>
      <c r="Y75" s="257"/>
      <c r="Z75" s="257"/>
    </row>
    <row r="76" spans="1:27">
      <c r="A76" s="187"/>
      <c r="B76" s="187"/>
      <c r="C76" s="187"/>
      <c r="D76" s="187"/>
      <c r="E76" s="187"/>
      <c r="F76" s="187"/>
      <c r="G76" s="187"/>
      <c r="H76" s="187"/>
      <c r="I76" s="187"/>
      <c r="J76" s="187"/>
      <c r="K76" s="187"/>
      <c r="L76" s="187"/>
      <c r="M76" s="187"/>
      <c r="N76" s="187"/>
      <c r="O76" s="187"/>
      <c r="P76" s="187"/>
      <c r="Q76" s="187"/>
      <c r="R76" s="187"/>
      <c r="S76" s="187"/>
      <c r="T76" s="187"/>
      <c r="U76" s="190"/>
      <c r="V76" s="187"/>
      <c r="W76" s="187"/>
      <c r="X76" s="187"/>
      <c r="Y76" s="187"/>
      <c r="Z76" s="187"/>
      <c r="AA76" s="177"/>
    </row>
    <row r="77" ht="15.75" spans="1:27">
      <c r="A77" s="259" t="s">
        <v>68</v>
      </c>
      <c r="B77" s="190"/>
      <c r="C77" s="190"/>
      <c r="D77" s="190"/>
      <c r="E77" s="190"/>
      <c r="F77" s="187"/>
      <c r="G77" s="187"/>
      <c r="H77" s="190"/>
      <c r="I77" s="190"/>
      <c r="J77" s="187"/>
      <c r="K77" s="187"/>
      <c r="L77" s="187"/>
      <c r="M77" s="187"/>
      <c r="N77" s="187"/>
      <c r="O77" s="187"/>
      <c r="P77" s="187"/>
      <c r="Q77" s="187"/>
      <c r="R77" s="187"/>
      <c r="S77" s="187"/>
      <c r="T77" s="187"/>
      <c r="U77" s="190"/>
      <c r="V77" s="187"/>
      <c r="W77" s="187"/>
      <c r="X77" s="187"/>
      <c r="Y77" s="187"/>
      <c r="Z77" s="187"/>
      <c r="AA77" s="177"/>
    </row>
    <row r="78" ht="16.5" spans="1:27">
      <c r="A78" s="192"/>
      <c r="B78" s="193"/>
      <c r="C78" s="193"/>
      <c r="D78" s="193"/>
      <c r="E78" s="193"/>
      <c r="F78" s="193"/>
      <c r="G78" s="260" t="s">
        <v>69</v>
      </c>
      <c r="H78" s="195">
        <v>8.5</v>
      </c>
      <c r="I78" s="261" t="s">
        <v>70</v>
      </c>
      <c r="J78" s="80"/>
      <c r="K78" s="80"/>
      <c r="L78" s="80"/>
      <c r="M78" s="80"/>
      <c r="N78" s="80"/>
      <c r="O78" s="80"/>
      <c r="P78" s="80"/>
      <c r="Q78" s="80"/>
      <c r="R78" s="80"/>
      <c r="S78" s="80"/>
      <c r="T78" s="80"/>
      <c r="U78" s="262"/>
      <c r="V78" s="253"/>
      <c r="W78" s="80"/>
      <c r="X78" s="80"/>
      <c r="Y78" s="80"/>
      <c r="Z78" s="80"/>
      <c r="AA78" s="177"/>
    </row>
    <row r="79" ht="16.5" spans="1:27">
      <c r="A79" s="240"/>
      <c r="B79" s="190"/>
      <c r="C79" s="190"/>
      <c r="D79" s="190"/>
      <c r="E79" s="190"/>
      <c r="F79" s="190"/>
      <c r="G79" s="263" t="s">
        <v>71</v>
      </c>
      <c r="H79" s="199">
        <v>15</v>
      </c>
      <c r="I79" s="264" t="s">
        <v>72</v>
      </c>
      <c r="J79" s="80"/>
      <c r="K79" s="80"/>
      <c r="L79" s="80"/>
      <c r="M79" s="80"/>
      <c r="N79" s="80"/>
      <c r="O79" s="80"/>
      <c r="P79" s="80"/>
      <c r="Q79" s="80"/>
      <c r="R79" s="80"/>
      <c r="S79" s="80"/>
      <c r="T79" s="80"/>
      <c r="U79" s="262"/>
      <c r="V79" s="253"/>
      <c r="W79" s="80"/>
      <c r="X79" s="80"/>
      <c r="Y79" s="80"/>
      <c r="Z79" s="80"/>
      <c r="AA79" s="177"/>
    </row>
    <row r="80" ht="16.5" spans="1:27">
      <c r="A80" s="240"/>
      <c r="B80" s="190"/>
      <c r="C80" s="190"/>
      <c r="D80" s="190"/>
      <c r="E80" s="190"/>
      <c r="F80" s="190"/>
      <c r="G80" s="263" t="s">
        <v>73</v>
      </c>
      <c r="H80" s="199">
        <v>6.5</v>
      </c>
      <c r="I80" s="264" t="s">
        <v>72</v>
      </c>
      <c r="J80" s="80"/>
      <c r="K80" s="80"/>
      <c r="L80" s="80"/>
      <c r="M80" s="80"/>
      <c r="N80" s="80"/>
      <c r="O80" s="80"/>
      <c r="P80" s="80"/>
      <c r="Q80" s="80"/>
      <c r="R80" s="80"/>
      <c r="S80" s="80"/>
      <c r="T80" s="80"/>
      <c r="U80" s="262"/>
      <c r="V80" s="253"/>
      <c r="W80" s="80"/>
      <c r="X80" s="80"/>
      <c r="Y80" s="80"/>
      <c r="Z80" s="80"/>
      <c r="AA80" s="177"/>
    </row>
    <row r="81" ht="16.5" spans="1:27">
      <c r="A81" s="197"/>
      <c r="B81" s="190"/>
      <c r="C81" s="190"/>
      <c r="D81" s="190"/>
      <c r="E81" s="190"/>
      <c r="F81" s="190"/>
      <c r="G81" s="263" t="s">
        <v>74</v>
      </c>
      <c r="H81" s="199">
        <v>3.5</v>
      </c>
      <c r="I81" s="264" t="s">
        <v>72</v>
      </c>
      <c r="J81" s="80"/>
      <c r="K81" s="80"/>
      <c r="L81" s="80"/>
      <c r="M81" s="80"/>
      <c r="N81" s="80"/>
      <c r="O81" s="80"/>
      <c r="P81" s="80"/>
      <c r="Q81" s="80"/>
      <c r="R81" s="80"/>
      <c r="S81" s="80"/>
      <c r="T81" s="80"/>
      <c r="U81" s="262"/>
      <c r="V81" s="253"/>
      <c r="W81" s="80"/>
      <c r="X81" s="80"/>
      <c r="Y81" s="80"/>
      <c r="Z81" s="80"/>
      <c r="AA81" s="177"/>
    </row>
    <row r="82" ht="16.5" spans="1:27">
      <c r="A82" s="197"/>
      <c r="B82" s="190"/>
      <c r="C82" s="190"/>
      <c r="D82" s="190"/>
      <c r="E82" s="190"/>
      <c r="F82" s="190"/>
      <c r="G82" s="263" t="s">
        <v>75</v>
      </c>
      <c r="H82" s="199">
        <v>1.3</v>
      </c>
      <c r="I82" s="264" t="s">
        <v>76</v>
      </c>
      <c r="J82" s="80"/>
      <c r="K82" s="80"/>
      <c r="L82" s="80"/>
      <c r="M82" s="80"/>
      <c r="N82" s="80"/>
      <c r="O82" s="80"/>
      <c r="P82" s="80"/>
      <c r="Q82" s="80"/>
      <c r="R82" s="80"/>
      <c r="S82" s="80"/>
      <c r="T82" s="80"/>
      <c r="U82" s="262"/>
      <c r="V82" s="253"/>
      <c r="W82" s="80"/>
      <c r="X82" s="80"/>
      <c r="Y82" s="80"/>
      <c r="Z82" s="80"/>
      <c r="AA82" s="177"/>
    </row>
    <row r="83" ht="16.5" spans="1:27">
      <c r="A83" s="197"/>
      <c r="B83" s="190"/>
      <c r="C83" s="190"/>
      <c r="D83" s="190"/>
      <c r="E83" s="190"/>
      <c r="F83" s="190"/>
      <c r="G83" s="263" t="s">
        <v>77</v>
      </c>
      <c r="H83" s="199">
        <v>70</v>
      </c>
      <c r="I83" s="264" t="s">
        <v>78</v>
      </c>
      <c r="J83" s="80"/>
      <c r="K83" s="80"/>
      <c r="L83" s="80"/>
      <c r="M83" s="80"/>
      <c r="N83" s="80"/>
      <c r="O83" s="80"/>
      <c r="P83" s="80"/>
      <c r="Q83" s="80"/>
      <c r="R83" s="80"/>
      <c r="S83" s="80"/>
      <c r="T83" s="80"/>
      <c r="U83" s="262"/>
      <c r="V83" s="253"/>
      <c r="W83" s="80"/>
      <c r="X83" s="80"/>
      <c r="Y83" s="80"/>
      <c r="Z83" s="80"/>
      <c r="AA83" s="177"/>
    </row>
    <row r="84" ht="17.25" spans="1:27">
      <c r="A84" s="220"/>
      <c r="B84" s="209"/>
      <c r="C84" s="209"/>
      <c r="D84" s="209"/>
      <c r="E84" s="209"/>
      <c r="F84" s="209"/>
      <c r="G84" s="265" t="s">
        <v>79</v>
      </c>
      <c r="H84" s="231">
        <v>1.65</v>
      </c>
      <c r="I84" s="266" t="s">
        <v>7</v>
      </c>
      <c r="J84" s="80"/>
      <c r="K84" s="80"/>
      <c r="L84" s="80"/>
      <c r="M84" s="80"/>
      <c r="N84" s="80"/>
      <c r="O84" s="80"/>
      <c r="P84" s="80"/>
      <c r="Q84" s="80"/>
      <c r="R84" s="80"/>
      <c r="S84" s="80"/>
      <c r="T84" s="80"/>
      <c r="U84" s="262"/>
      <c r="V84" s="253"/>
      <c r="W84" s="80"/>
      <c r="X84" s="80"/>
      <c r="Y84" s="80"/>
      <c r="Z84" s="80"/>
      <c r="AA84" s="177"/>
    </row>
    <row r="85" spans="1:27">
      <c r="A85" s="187"/>
      <c r="B85" s="187"/>
      <c r="C85" s="187"/>
      <c r="D85" s="187"/>
      <c r="E85" s="187"/>
      <c r="F85" s="187"/>
      <c r="G85" s="188"/>
      <c r="H85" s="187"/>
      <c r="I85" s="190"/>
      <c r="J85" s="187"/>
      <c r="K85" s="187"/>
      <c r="L85" s="187"/>
      <c r="M85" s="187"/>
      <c r="N85" s="187"/>
      <c r="O85" s="187"/>
      <c r="P85" s="187"/>
      <c r="Q85" s="187"/>
      <c r="R85" s="187"/>
      <c r="S85" s="187"/>
      <c r="T85" s="187"/>
      <c r="U85" s="190"/>
      <c r="V85" s="187"/>
      <c r="W85" s="187"/>
      <c r="X85" s="187"/>
      <c r="Y85" s="187"/>
      <c r="Z85" s="187"/>
      <c r="AA85" s="177"/>
    </row>
    <row r="86" ht="15.75" spans="1:27">
      <c r="A86" s="267" t="s">
        <v>80</v>
      </c>
      <c r="B86" s="187"/>
      <c r="C86" s="187"/>
      <c r="D86" s="187"/>
      <c r="E86" s="187"/>
      <c r="F86" s="187"/>
      <c r="G86" s="188"/>
      <c r="H86" s="187"/>
      <c r="I86" s="187"/>
      <c r="J86" s="187"/>
      <c r="K86" s="187"/>
      <c r="L86" s="187"/>
      <c r="M86" s="187"/>
      <c r="N86" s="187"/>
      <c r="O86" s="187"/>
      <c r="P86" s="187"/>
      <c r="Q86" s="187"/>
      <c r="R86" s="187"/>
      <c r="S86" s="187"/>
      <c r="T86" s="187"/>
      <c r="U86" s="190"/>
      <c r="V86" s="187"/>
      <c r="W86" s="187"/>
      <c r="X86" s="187"/>
      <c r="Y86" s="187"/>
      <c r="Z86" s="187"/>
      <c r="AA86" s="177"/>
    </row>
    <row r="87" ht="18.75" spans="1:27">
      <c r="A87" s="192"/>
      <c r="B87" s="193"/>
      <c r="C87" s="193"/>
      <c r="D87" s="193"/>
      <c r="E87" s="193"/>
      <c r="F87" s="193"/>
      <c r="G87" s="229" t="s">
        <v>81</v>
      </c>
      <c r="H87" s="268">
        <f>IOUT</f>
        <v>3</v>
      </c>
      <c r="I87" s="196" t="s">
        <v>12</v>
      </c>
      <c r="J87" s="80"/>
      <c r="K87" s="80"/>
      <c r="L87" s="80"/>
      <c r="M87" s="80"/>
      <c r="N87" s="80"/>
      <c r="O87" s="80"/>
      <c r="P87" s="80"/>
      <c r="Q87" s="80"/>
      <c r="R87" s="80"/>
      <c r="S87" s="80"/>
      <c r="T87" s="80"/>
      <c r="U87" s="262"/>
      <c r="V87" s="253"/>
      <c r="W87" s="80"/>
      <c r="X87" s="80"/>
      <c r="Y87" s="80"/>
      <c r="Z87" s="80"/>
      <c r="AA87" s="177"/>
    </row>
    <row r="88" ht="18.75" spans="1:27">
      <c r="A88" s="197"/>
      <c r="B88" s="190"/>
      <c r="C88" s="190"/>
      <c r="D88" s="190"/>
      <c r="E88" s="190"/>
      <c r="F88" s="190"/>
      <c r="G88" s="223" t="s">
        <v>82</v>
      </c>
      <c r="H88" s="199">
        <v>325</v>
      </c>
      <c r="I88" s="200" t="s">
        <v>46</v>
      </c>
      <c r="J88" s="80"/>
      <c r="K88" s="80"/>
      <c r="L88" s="80"/>
      <c r="M88" s="80"/>
      <c r="N88" s="80"/>
      <c r="O88" s="80"/>
      <c r="P88" s="80"/>
      <c r="Q88" s="80"/>
      <c r="R88" s="80"/>
      <c r="S88" s="80"/>
      <c r="T88" s="80"/>
      <c r="U88" s="262"/>
      <c r="V88" s="253"/>
      <c r="W88" s="80"/>
      <c r="X88" s="80"/>
      <c r="Y88" s="80"/>
      <c r="Z88" s="80"/>
      <c r="AA88" s="177"/>
    </row>
    <row r="89" ht="15.75" spans="1:27">
      <c r="A89" s="220"/>
      <c r="B89" s="209"/>
      <c r="C89" s="209"/>
      <c r="D89" s="209"/>
      <c r="E89" s="209"/>
      <c r="F89" s="209"/>
      <c r="G89" s="226" t="s">
        <v>83</v>
      </c>
      <c r="H89" s="231">
        <v>0</v>
      </c>
      <c r="I89" s="212" t="s">
        <v>72</v>
      </c>
      <c r="J89" s="80"/>
      <c r="K89" s="80"/>
      <c r="L89" s="80"/>
      <c r="M89" s="80"/>
      <c r="N89" s="80"/>
      <c r="O89" s="80"/>
      <c r="P89" s="80"/>
      <c r="Q89" s="80"/>
      <c r="R89" s="80"/>
      <c r="S89" s="80"/>
      <c r="T89" s="80"/>
      <c r="U89" s="262"/>
      <c r="V89" s="253"/>
      <c r="W89" s="80"/>
      <c r="X89" s="80"/>
      <c r="Y89" s="80"/>
      <c r="Z89" s="80"/>
      <c r="AA89" s="177"/>
    </row>
    <row r="90" spans="1:27">
      <c r="A90" s="187"/>
      <c r="B90" s="187"/>
      <c r="C90" s="187"/>
      <c r="D90" s="187"/>
      <c r="E90" s="187"/>
      <c r="F90" s="187"/>
      <c r="G90" s="188"/>
      <c r="H90" s="187"/>
      <c r="I90" s="187"/>
      <c r="J90" s="187"/>
      <c r="K90" s="187"/>
      <c r="L90" s="187"/>
      <c r="M90" s="187"/>
      <c r="N90" s="187"/>
      <c r="O90" s="187"/>
      <c r="P90" s="187"/>
      <c r="Q90" s="187"/>
      <c r="R90" s="187"/>
      <c r="S90" s="187"/>
      <c r="T90" s="187"/>
      <c r="U90" s="190"/>
      <c r="V90" s="187"/>
      <c r="W90" s="187"/>
      <c r="X90" s="187"/>
      <c r="Y90" s="187"/>
      <c r="Z90" s="187"/>
      <c r="AA90" s="177"/>
    </row>
    <row r="91" spans="1:27">
      <c r="A91" s="187"/>
      <c r="B91" s="187"/>
      <c r="C91" s="187"/>
      <c r="D91" s="187"/>
      <c r="E91" s="187"/>
      <c r="F91" s="187"/>
      <c r="G91" s="188"/>
      <c r="H91" s="187"/>
      <c r="I91" s="187"/>
      <c r="J91" s="187"/>
      <c r="K91" s="187"/>
      <c r="L91" s="187"/>
      <c r="M91" s="187"/>
      <c r="N91" s="187"/>
      <c r="O91" s="187"/>
      <c r="P91" s="187"/>
      <c r="Q91" s="187"/>
      <c r="R91" s="187"/>
      <c r="S91" s="187"/>
      <c r="T91" s="187"/>
      <c r="U91" s="190"/>
      <c r="V91" s="187"/>
      <c r="W91" s="187"/>
      <c r="X91" s="187"/>
      <c r="Y91" s="187"/>
      <c r="Z91" s="187"/>
      <c r="AA91" s="177"/>
    </row>
    <row r="92" spans="1:27">
      <c r="A92" s="187"/>
      <c r="B92" s="187"/>
      <c r="C92" s="187"/>
      <c r="D92" s="187"/>
      <c r="E92" s="187"/>
      <c r="F92" s="187"/>
      <c r="G92" s="188"/>
      <c r="H92" s="187"/>
      <c r="I92" s="187"/>
      <c r="J92" s="187"/>
      <c r="K92" s="187"/>
      <c r="L92" s="187"/>
      <c r="M92" s="187"/>
      <c r="N92" s="187"/>
      <c r="O92" s="187"/>
      <c r="P92" s="187"/>
      <c r="Q92" s="187"/>
      <c r="R92" s="187"/>
      <c r="S92" s="187"/>
      <c r="T92" s="187"/>
      <c r="U92" s="190"/>
      <c r="V92" s="187"/>
      <c r="W92" s="187"/>
      <c r="X92" s="187"/>
      <c r="Y92" s="187"/>
      <c r="Z92" s="187"/>
      <c r="AA92" s="177"/>
    </row>
    <row r="93" spans="1:27">
      <c r="A93" s="187"/>
      <c r="B93" s="187"/>
      <c r="C93" s="187"/>
      <c r="D93" s="187"/>
      <c r="E93" s="187"/>
      <c r="F93" s="187"/>
      <c r="G93" s="188"/>
      <c r="H93" s="187"/>
      <c r="I93" s="187"/>
      <c r="J93" s="187"/>
      <c r="K93" s="187"/>
      <c r="L93" s="187"/>
      <c r="M93" s="187"/>
      <c r="N93" s="187"/>
      <c r="O93" s="187"/>
      <c r="P93" s="187"/>
      <c r="Q93" s="187"/>
      <c r="R93" s="187"/>
      <c r="S93" s="187"/>
      <c r="T93" s="187"/>
      <c r="U93" s="190"/>
      <c r="V93" s="187"/>
      <c r="W93" s="187"/>
      <c r="X93" s="187"/>
      <c r="Y93" s="187"/>
      <c r="Z93" s="187"/>
      <c r="AA93" s="177"/>
    </row>
    <row r="94" spans="1:27">
      <c r="A94" s="187"/>
      <c r="B94" s="187"/>
      <c r="C94" s="187"/>
      <c r="D94" s="187"/>
      <c r="E94" s="187"/>
      <c r="F94" s="187"/>
      <c r="G94" s="188"/>
      <c r="H94" s="187"/>
      <c r="I94" s="187"/>
      <c r="J94" s="187"/>
      <c r="K94" s="187"/>
      <c r="L94" s="187"/>
      <c r="M94" s="187"/>
      <c r="N94" s="187"/>
      <c r="O94" s="187"/>
      <c r="P94" s="187"/>
      <c r="Q94" s="187"/>
      <c r="R94" s="187"/>
      <c r="S94" s="187"/>
      <c r="T94" s="187"/>
      <c r="U94" s="190"/>
      <c r="V94" s="187"/>
      <c r="W94" s="187"/>
      <c r="X94" s="187"/>
      <c r="Y94" s="187"/>
      <c r="Z94" s="187"/>
      <c r="AA94" s="177"/>
    </row>
    <row r="95" spans="1:27">
      <c r="A95" s="187"/>
      <c r="B95" s="187"/>
      <c r="C95" s="187"/>
      <c r="D95" s="187"/>
      <c r="E95" s="187"/>
      <c r="F95" s="187"/>
      <c r="G95" s="188"/>
      <c r="H95" s="187"/>
      <c r="I95" s="187"/>
      <c r="J95" s="187"/>
      <c r="K95" s="187"/>
      <c r="L95" s="187"/>
      <c r="M95" s="187"/>
      <c r="N95" s="187"/>
      <c r="O95" s="187"/>
      <c r="P95" s="187"/>
      <c r="Q95" s="187"/>
      <c r="R95" s="187"/>
      <c r="S95" s="187"/>
      <c r="T95" s="187"/>
      <c r="U95" s="190"/>
      <c r="V95" s="187"/>
      <c r="W95" s="187"/>
      <c r="X95" s="187"/>
      <c r="Y95" s="187"/>
      <c r="Z95" s="187"/>
      <c r="AA95" s="177"/>
    </row>
    <row r="96" spans="1:27">
      <c r="A96" s="187"/>
      <c r="B96" s="187"/>
      <c r="C96" s="187"/>
      <c r="D96" s="187"/>
      <c r="E96" s="187"/>
      <c r="F96" s="187"/>
      <c r="G96" s="188"/>
      <c r="H96" s="187"/>
      <c r="I96" s="187"/>
      <c r="J96" s="187"/>
      <c r="K96" s="187"/>
      <c r="L96" s="187"/>
      <c r="M96" s="187"/>
      <c r="N96" s="187"/>
      <c r="O96" s="187"/>
      <c r="P96" s="187"/>
      <c r="Q96" s="187"/>
      <c r="R96" s="187"/>
      <c r="S96" s="187"/>
      <c r="T96" s="187"/>
      <c r="U96" s="190"/>
      <c r="V96" s="187"/>
      <c r="W96" s="187"/>
      <c r="X96" s="187"/>
      <c r="Y96" s="187"/>
      <c r="Z96" s="187"/>
      <c r="AA96" s="177"/>
    </row>
    <row r="97" spans="1:27">
      <c r="A97" s="187"/>
      <c r="B97" s="187"/>
      <c r="C97" s="187"/>
      <c r="D97" s="187"/>
      <c r="E97" s="187"/>
      <c r="F97" s="187"/>
      <c r="G97" s="188"/>
      <c r="H97" s="187"/>
      <c r="I97" s="187"/>
      <c r="J97" s="187"/>
      <c r="K97" s="187"/>
      <c r="L97" s="187"/>
      <c r="M97" s="187"/>
      <c r="N97" s="187"/>
      <c r="O97" s="187"/>
      <c r="P97" s="187"/>
      <c r="Q97" s="187"/>
      <c r="R97" s="187"/>
      <c r="S97" s="187"/>
      <c r="T97" s="187"/>
      <c r="U97" s="190"/>
      <c r="V97" s="187"/>
      <c r="W97" s="187"/>
      <c r="X97" s="187"/>
      <c r="Y97" s="187"/>
      <c r="Z97" s="187"/>
      <c r="AA97" s="177"/>
    </row>
    <row r="98" spans="1:27">
      <c r="A98" s="187"/>
      <c r="B98" s="187"/>
      <c r="C98" s="187"/>
      <c r="D98" s="187"/>
      <c r="E98" s="187"/>
      <c r="F98" s="187"/>
      <c r="G98" s="188"/>
      <c r="H98" s="187"/>
      <c r="I98" s="187"/>
      <c r="J98" s="187"/>
      <c r="K98" s="187"/>
      <c r="L98" s="187"/>
      <c r="M98" s="187"/>
      <c r="N98" s="187"/>
      <c r="O98" s="187"/>
      <c r="P98" s="187"/>
      <c r="Q98" s="187"/>
      <c r="R98" s="187"/>
      <c r="S98" s="187"/>
      <c r="T98" s="187"/>
      <c r="U98" s="190"/>
      <c r="V98" s="187"/>
      <c r="W98" s="187"/>
      <c r="X98" s="187"/>
      <c r="Y98" s="187"/>
      <c r="Z98" s="187"/>
      <c r="AA98" s="177"/>
    </row>
    <row r="99" spans="1:27">
      <c r="A99" s="187"/>
      <c r="B99" s="187"/>
      <c r="C99" s="187"/>
      <c r="D99" s="187"/>
      <c r="E99" s="187"/>
      <c r="F99" s="187"/>
      <c r="G99" s="188"/>
      <c r="H99" s="187"/>
      <c r="I99" s="187"/>
      <c r="J99" s="187"/>
      <c r="K99" s="187"/>
      <c r="L99" s="187"/>
      <c r="M99" s="187"/>
      <c r="N99" s="187"/>
      <c r="O99" s="187"/>
      <c r="P99" s="187"/>
      <c r="Q99" s="187"/>
      <c r="R99" s="187"/>
      <c r="S99" s="187"/>
      <c r="T99" s="187"/>
      <c r="U99" s="190"/>
      <c r="V99" s="187"/>
      <c r="W99" s="187"/>
      <c r="X99" s="187"/>
      <c r="Y99" s="187"/>
      <c r="Z99" s="187"/>
      <c r="AA99" s="177"/>
    </row>
    <row r="100" spans="1:27">
      <c r="A100" s="187"/>
      <c r="B100" s="187"/>
      <c r="C100" s="187"/>
      <c r="D100" s="187"/>
      <c r="E100" s="187"/>
      <c r="F100" s="187"/>
      <c r="G100" s="188"/>
      <c r="H100" s="187"/>
      <c r="I100" s="187"/>
      <c r="J100" s="187"/>
      <c r="K100" s="187"/>
      <c r="L100" s="187"/>
      <c r="M100" s="187"/>
      <c r="N100" s="187"/>
      <c r="O100" s="187"/>
      <c r="P100" s="187"/>
      <c r="Q100" s="187"/>
      <c r="R100" s="187"/>
      <c r="S100" s="187"/>
      <c r="T100" s="187"/>
      <c r="U100" s="190"/>
      <c r="V100" s="187"/>
      <c r="W100" s="187"/>
      <c r="X100" s="187"/>
      <c r="Y100" s="187"/>
      <c r="Z100" s="187"/>
      <c r="AA100" s="177"/>
    </row>
    <row r="101" spans="1:27">
      <c r="A101" s="187"/>
      <c r="B101" s="187"/>
      <c r="C101" s="187"/>
      <c r="D101" s="187"/>
      <c r="E101" s="187"/>
      <c r="F101" s="187"/>
      <c r="G101" s="188"/>
      <c r="H101" s="187"/>
      <c r="I101" s="187"/>
      <c r="J101" s="187"/>
      <c r="K101" s="187"/>
      <c r="L101" s="187"/>
      <c r="M101" s="187"/>
      <c r="N101" s="187"/>
      <c r="O101" s="187"/>
      <c r="P101" s="187"/>
      <c r="Q101" s="187"/>
      <c r="R101" s="187"/>
      <c r="S101" s="187"/>
      <c r="T101" s="187"/>
      <c r="U101" s="190"/>
      <c r="V101" s="187"/>
      <c r="W101" s="187"/>
      <c r="X101" s="187"/>
      <c r="Y101" s="187"/>
      <c r="Z101" s="187"/>
      <c r="AA101" s="177"/>
    </row>
    <row r="102" spans="1:27">
      <c r="A102" s="269"/>
      <c r="B102" s="269"/>
      <c r="C102" s="269"/>
      <c r="D102" s="269"/>
      <c r="E102" s="269"/>
      <c r="F102" s="269"/>
      <c r="G102" s="270"/>
      <c r="H102" s="269"/>
      <c r="I102" s="269"/>
      <c r="J102" s="269"/>
      <c r="K102" s="269"/>
      <c r="L102" s="269"/>
      <c r="M102" s="269"/>
      <c r="N102" s="269"/>
      <c r="O102" s="269"/>
      <c r="P102" s="269"/>
      <c r="Q102" s="269"/>
      <c r="R102" s="269"/>
      <c r="S102" s="269"/>
      <c r="T102" s="269"/>
      <c r="U102" s="178"/>
      <c r="V102" s="269"/>
      <c r="W102" s="269"/>
      <c r="X102" s="269"/>
      <c r="Y102" s="269"/>
      <c r="Z102" s="269"/>
      <c r="AA102" s="177"/>
    </row>
  </sheetData>
  <sheetProtection algorithmName="SHA-512" hashValue="bZn5BxNoQji7e1OWgd53ovX541s0yIMhHlSN7b6uPqCJHi2+HVCy3Ji5mYlhYKsqPcL7cRV0iAgdJo4VuP7CPw==" saltValue="3v/sh/XiDIsewZ/5WLObCA==" spinCount="100000" sheet="1" selectLockedCells="1" objects="1" scenarios="1"/>
  <conditionalFormatting sqref="H7">
    <cfRule type="cellIs" dxfId="0" priority="9" operator="lessThan">
      <formula>VIN_op_min</formula>
    </cfRule>
    <cfRule type="cellIs" dxfId="0" priority="10" operator="greaterThan">
      <formula>VIN_op_max</formula>
    </cfRule>
  </conditionalFormatting>
  <conditionalFormatting sqref="H8">
    <cfRule type="cellIs" dxfId="0" priority="8" operator="notBetween">
      <formula>$H$7</formula>
      <formula>$H$9</formula>
    </cfRule>
  </conditionalFormatting>
  <conditionalFormatting sqref="H9">
    <cfRule type="cellIs" dxfId="0" priority="5" operator="greaterThan">
      <formula>VIN_op_max</formula>
    </cfRule>
    <cfRule type="cellIs" dxfId="0" priority="6" operator="lessThan">
      <formula>VIN_op_min</formula>
    </cfRule>
  </conditionalFormatting>
  <conditionalFormatting sqref="H12">
    <cfRule type="cellIs" dxfId="0" priority="1" operator="notBetween">
      <formula>100</formula>
      <formula>1000</formula>
    </cfRule>
  </conditionalFormatting>
  <conditionalFormatting sqref="H16">
    <cfRule type="expression" dxfId="1" priority="2">
      <formula>$H$16&gt;$H$15</formula>
    </cfRule>
  </conditionalFormatting>
  <conditionalFormatting sqref="H59">
    <cfRule type="expression" dxfId="2" priority="3">
      <formula>Loop_Modeling!$B$16&gt;$H$9</formula>
    </cfRule>
    <cfRule type="expression" dxfId="2" priority="4">
      <formula>Loop_Modeling!$B$16&lt;$H$7</formula>
    </cfRule>
  </conditionalFormatting>
  <hyperlinks>
    <hyperlink ref="O3" location="Licenses!A1" display="TERMS OF USE"/>
  </hyperlinks>
  <pageMargins left="0.2" right="0.2" top="0.25" bottom="0.25" header="0" footer="0"/>
  <pageSetup paperSize="9" scale="44" orientation="portrait"/>
  <headerFooter/>
  <drawing r:id="rId2"/>
  <legacyDrawing r:id="rId3"/>
  <mc:AlternateContent xmlns:mc="http://schemas.openxmlformats.org/markup-compatibility/2006">
    <mc:Choice Requires="x14">
      <controls>
        <mc:AlternateContent xmlns:mc="http://schemas.openxmlformats.org/markup-compatibility/2006">
          <mc:Choice Requires="x14">
            <control shapeId="1060" name="Spinner 36" r:id="rId4">
              <controlPr defaultSize="0">
                <anchor moveWithCells="1" sizeWithCells="1">
                  <from>
                    <xdr:col>7</xdr:col>
                    <xdr:colOff>751840</xdr:colOff>
                    <xdr:row>58</xdr:row>
                    <xdr:rowOff>0</xdr:rowOff>
                  </from>
                  <to>
                    <xdr:col>8</xdr:col>
                    <xdr:colOff>269240</xdr:colOff>
                    <xdr:row>60</xdr:row>
                    <xdr:rowOff>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M47"/>
  <sheetViews>
    <sheetView topLeftCell="A7" workbookViewId="0">
      <selection activeCell="A50" sqref="A50"/>
    </sheetView>
  </sheetViews>
  <sheetFormatPr defaultColWidth="9.14285714285714" defaultRowHeight="14.25"/>
  <cols>
    <col min="1" max="1" width="25.7142857142857" style="150" customWidth="1"/>
    <col min="2" max="2" width="56.5714285714286" style="151" customWidth="1"/>
    <col min="3" max="11" width="9.14285714285714" style="152"/>
    <col min="12" max="12" width="20.4285714285714" style="152" customWidth="1"/>
    <col min="13" max="16384" width="9.14285714285714" style="152"/>
  </cols>
  <sheetData>
    <row r="1" spans="1:12">
      <c r="B1" s="150"/>
      <c r="C1" s="150"/>
      <c r="D1" s="150"/>
      <c r="E1" s="150"/>
      <c r="F1" s="150"/>
      <c r="G1" s="150"/>
      <c r="H1" s="150"/>
      <c r="I1" s="150"/>
      <c r="J1" s="150"/>
      <c r="K1" s="150"/>
      <c r="L1" s="150"/>
    </row>
    <row r="2" spans="1:12">
      <c r="B2" s="150"/>
      <c r="C2" s="150"/>
      <c r="D2" s="150"/>
      <c r="E2" s="150"/>
      <c r="F2" s="150"/>
      <c r="G2" s="150"/>
      <c r="H2" s="150"/>
      <c r="I2" s="150"/>
      <c r="J2" s="150"/>
      <c r="K2" s="150"/>
      <c r="L2" s="150"/>
    </row>
    <row r="3" spans="1:12">
      <c r="B3" s="150"/>
      <c r="C3" s="150"/>
      <c r="D3" s="150"/>
      <c r="E3" s="150"/>
      <c r="F3" s="150"/>
      <c r="G3" s="150"/>
      <c r="H3" s="150"/>
      <c r="I3" s="150"/>
      <c r="J3" s="150"/>
      <c r="K3" s="150"/>
      <c r="L3" s="150"/>
    </row>
    <row r="4" spans="1:12">
      <c r="A4" s="153"/>
      <c r="B4" s="153"/>
      <c r="C4" s="153"/>
      <c r="D4" s="153"/>
      <c r="E4" s="153"/>
      <c r="F4" s="153"/>
      <c r="G4" s="153"/>
      <c r="H4" s="153"/>
      <c r="I4" s="153"/>
      <c r="J4" s="153"/>
      <c r="K4" s="153"/>
      <c r="L4" s="153"/>
    </row>
    <row r="5" spans="1:12">
      <c r="A5" s="154" t="s">
        <v>84</v>
      </c>
      <c r="B5" s="155" t="s">
        <v>85</v>
      </c>
      <c r="C5" s="156"/>
      <c r="D5" s="156"/>
      <c r="E5" s="156"/>
      <c r="F5" s="156"/>
      <c r="G5" s="156"/>
      <c r="H5" s="156"/>
      <c r="I5" s="156"/>
      <c r="J5" s="156"/>
      <c r="K5" s="157"/>
      <c r="L5" s="158"/>
    </row>
    <row r="6" spans="1:12">
      <c r="A6" s="154"/>
      <c r="B6" s="159"/>
      <c r="C6" s="156"/>
      <c r="D6" s="156"/>
      <c r="E6" s="156"/>
      <c r="F6" s="156"/>
      <c r="G6" s="156"/>
      <c r="H6" s="156"/>
      <c r="I6" s="156"/>
      <c r="J6" s="158"/>
      <c r="K6" s="158"/>
      <c r="L6" s="158"/>
    </row>
    <row r="35" spans="1:39">
      <c r="A35" s="160" t="s">
        <v>86</v>
      </c>
      <c r="B35" s="161"/>
      <c r="C35" s="156"/>
      <c r="D35" s="156"/>
      <c r="E35" s="156"/>
      <c r="F35" s="156"/>
      <c r="G35" s="156"/>
      <c r="H35" s="156"/>
      <c r="I35" s="156"/>
      <c r="J35" s="156"/>
      <c r="K35" s="156"/>
    </row>
    <row r="36" spans="1:39">
      <c r="A36" s="162" t="s">
        <v>87</v>
      </c>
      <c r="B36" s="163" t="s">
        <v>88</v>
      </c>
      <c r="C36" s="163"/>
      <c r="D36" s="163"/>
      <c r="E36" s="163"/>
      <c r="F36" s="163"/>
      <c r="G36" s="163"/>
      <c r="H36" s="163"/>
      <c r="I36" s="163"/>
      <c r="J36" s="163"/>
      <c r="K36" s="163"/>
    </row>
    <row r="37" spans="1:39">
      <c r="A37" s="160" t="s">
        <v>85</v>
      </c>
      <c r="B37" s="164" t="s">
        <v>89</v>
      </c>
      <c r="C37" s="164"/>
      <c r="D37" s="164"/>
      <c r="E37" s="164"/>
      <c r="F37" s="164"/>
      <c r="G37" s="164"/>
      <c r="H37" s="164"/>
      <c r="I37" s="164"/>
      <c r="J37" s="164"/>
      <c r="K37" s="164"/>
    </row>
    <row r="38" spans="1:39">
      <c r="A38" s="165"/>
      <c r="B38" s="166"/>
      <c r="C38" s="166"/>
      <c r="D38" s="166"/>
      <c r="E38" s="166"/>
      <c r="F38" s="166"/>
      <c r="G38" s="166"/>
      <c r="H38" s="166"/>
      <c r="I38" s="166"/>
      <c r="J38" s="166"/>
      <c r="K38" s="166"/>
    </row>
    <row r="39" spans="1:39">
      <c r="A39" s="165"/>
      <c r="B39" s="166"/>
      <c r="C39" s="166"/>
      <c r="D39" s="166"/>
      <c r="E39" s="166"/>
      <c r="F39" s="166"/>
      <c r="G39" s="166"/>
      <c r="H39" s="166"/>
      <c r="I39" s="166"/>
      <c r="J39" s="166"/>
      <c r="K39" s="166"/>
    </row>
    <row r="40" spans="1:39">
      <c r="A40" s="165"/>
      <c r="B40" s="166"/>
      <c r="C40" s="166"/>
      <c r="D40" s="166"/>
      <c r="E40" s="166"/>
      <c r="F40" s="166"/>
      <c r="G40" s="166"/>
      <c r="H40" s="166"/>
      <c r="I40" s="166"/>
      <c r="J40" s="166"/>
      <c r="K40" s="166"/>
    </row>
    <row r="41" spans="1:39">
      <c r="A41" s="165"/>
      <c r="B41" s="166"/>
      <c r="C41" s="166"/>
      <c r="D41" s="166"/>
      <c r="E41" s="166"/>
      <c r="F41" s="166"/>
      <c r="G41" s="166"/>
      <c r="H41" s="166"/>
      <c r="I41" s="166"/>
      <c r="J41" s="166"/>
      <c r="K41" s="166"/>
    </row>
    <row r="42" spans="1:39">
      <c r="A42" s="165"/>
      <c r="B42" s="166"/>
      <c r="C42" s="166"/>
      <c r="D42" s="166"/>
      <c r="E42" s="166"/>
      <c r="F42" s="166"/>
      <c r="G42" s="166"/>
      <c r="H42" s="166"/>
      <c r="I42" s="166"/>
      <c r="J42" s="166"/>
      <c r="K42" s="166"/>
    </row>
    <row r="43" spans="1:39">
      <c r="A43" s="165"/>
      <c r="B43" s="166"/>
      <c r="C43" s="166"/>
      <c r="D43" s="166"/>
      <c r="E43" s="166"/>
      <c r="F43" s="166"/>
      <c r="G43" s="166"/>
      <c r="H43" s="166"/>
      <c r="I43" s="166"/>
      <c r="J43" s="166"/>
      <c r="K43" s="166"/>
    </row>
    <row r="44" ht="15" spans="1:39">
      <c r="A44" s="165"/>
      <c r="B44" s="166"/>
      <c r="C44" s="166"/>
      <c r="D44" s="166"/>
      <c r="E44" s="166"/>
      <c r="F44" s="166"/>
      <c r="G44" s="166"/>
      <c r="H44" s="166"/>
      <c r="I44" s="166"/>
      <c r="J44" s="166"/>
      <c r="K44" s="166"/>
      <c r="L44" s="167"/>
      <c r="M44" s="167"/>
      <c r="N44" s="167"/>
      <c r="O44" s="167"/>
      <c r="P44" s="167"/>
      <c r="Q44" s="167"/>
      <c r="R44" s="167"/>
      <c r="S44" s="167"/>
      <c r="T44" s="167"/>
      <c r="U44" s="167"/>
      <c r="V44" s="167"/>
      <c r="W44" s="167"/>
      <c r="X44" s="167"/>
      <c r="Y44" s="167"/>
      <c r="Z44" s="167"/>
      <c r="AA44" s="167"/>
      <c r="AB44" s="167"/>
      <c r="AC44" s="167"/>
      <c r="AD44" s="167"/>
      <c r="AE44" s="167"/>
      <c r="AF44" s="167"/>
      <c r="AG44" s="167"/>
      <c r="AH44" s="167"/>
      <c r="AI44" s="167"/>
      <c r="AJ44" s="167"/>
      <c r="AK44" s="167"/>
      <c r="AL44" s="167"/>
      <c r="AM44" s="167"/>
    </row>
    <row r="45" spans="1:39">
      <c r="A45" s="165"/>
      <c r="B45" s="166"/>
      <c r="C45" s="166"/>
      <c r="D45" s="166"/>
      <c r="E45" s="166"/>
      <c r="F45" s="166"/>
      <c r="G45" s="166"/>
      <c r="H45" s="166"/>
      <c r="I45" s="166"/>
      <c r="J45" s="166"/>
      <c r="K45" s="166"/>
    </row>
    <row r="46" spans="1:39">
      <c r="A46" s="165"/>
      <c r="B46" s="166"/>
      <c r="C46" s="166"/>
      <c r="D46" s="166"/>
      <c r="E46" s="166"/>
      <c r="F46" s="166"/>
      <c r="G46" s="166"/>
      <c r="H46" s="166"/>
      <c r="I46" s="166"/>
      <c r="J46" s="166"/>
      <c r="K46" s="166"/>
    </row>
    <row r="47" spans="1:39">
      <c r="A47" s="165"/>
      <c r="B47" s="166"/>
    </row>
  </sheetData>
  <sheetProtection algorithmName="SHA-512" hashValue="rCkc88BxOJWQBe78FPqt7ICVbVz8nKNKE2ce/WFibG/yE/6MwiXhVzvzNZ/2E2b/sxv5Bcf6aJyMuWEv2OSzgw==" saltValue="2OMgcJZhoSr8okNqcdjVFg==" spinCount="100000" sheet="1" selectLockedCells="1" objects="1" scenarios="1"/>
  <mergeCells count="5">
    <mergeCell ref="A4:L4"/>
    <mergeCell ref="B36:K36"/>
    <mergeCell ref="B37:K37"/>
    <mergeCell ref="B38:K38"/>
    <mergeCell ref="A1:L3"/>
  </mergeCells>
  <pageMargins left="0.7" right="0.7" top="0.75" bottom="0.75" header="0.3" footer="0.3"/>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Q263"/>
  <sheetViews>
    <sheetView zoomScale="85" zoomScaleNormal="85" workbookViewId="0">
      <pane ySplit="5" topLeftCell="A6" activePane="bottomLeft" state="frozen"/>
      <selection/>
      <selection pane="bottomLeft" activeCell="C247" sqref="C247"/>
    </sheetView>
  </sheetViews>
  <sheetFormatPr defaultColWidth="9" defaultRowHeight="15"/>
  <cols>
    <col min="1" max="1" width="28.8571428571429" customWidth="1"/>
    <col min="2" max="2" width="19.5714285714286" customWidth="1"/>
    <col min="3" max="3" width="10.8571428571429" customWidth="1"/>
    <col min="4" max="4" width="10" customWidth="1"/>
    <col min="5" max="5" width="18.5714285714286" customWidth="1"/>
    <col min="6" max="6" width="14.8571428571429" customWidth="1"/>
    <col min="7" max="7" width="15.1428571428571" customWidth="1"/>
    <col min="8" max="9" width="12.5714285714286" customWidth="1"/>
    <col min="12" max="12" width="12.4285714285714" customWidth="1"/>
  </cols>
  <sheetData>
    <row r="1" ht="27.75" spans="1:17">
      <c r="A1" s="1" t="s">
        <v>90</v>
      </c>
      <c r="B1" s="1"/>
      <c r="C1" s="1"/>
      <c r="D1" s="1"/>
      <c r="E1" s="1"/>
      <c r="F1" s="1"/>
      <c r="G1" s="1"/>
      <c r="H1" s="1"/>
      <c r="I1" s="1"/>
      <c r="J1" s="1"/>
    </row>
    <row r="2" spans="1:17">
      <c r="A2" s="2"/>
      <c r="B2" s="2" t="s">
        <v>91</v>
      </c>
      <c r="C2" s="3"/>
      <c r="D2" s="4"/>
      <c r="E2" s="2"/>
      <c r="F2" s="2"/>
      <c r="G2" s="2"/>
      <c r="H2" s="2"/>
      <c r="I2" s="2"/>
      <c r="J2" s="2"/>
    </row>
    <row r="3" spans="1:17">
      <c r="A3" s="2"/>
      <c r="B3" s="2" t="s">
        <v>92</v>
      </c>
      <c r="C3" s="5"/>
      <c r="D3" s="4"/>
      <c r="E3" s="2"/>
      <c r="F3" s="20" t="s">
        <v>93</v>
      </c>
      <c r="G3" s="21" t="s">
        <v>94</v>
      </c>
      <c r="H3" s="22" t="s">
        <v>95</v>
      </c>
      <c r="I3" s="2"/>
      <c r="J3" s="2"/>
    </row>
    <row r="4" spans="1:17">
      <c r="A4" s="2"/>
      <c r="B4" s="2" t="s">
        <v>96</v>
      </c>
      <c r="C4" s="6"/>
      <c r="D4" s="4"/>
      <c r="E4" s="2"/>
      <c r="F4" s="2"/>
      <c r="G4" s="2"/>
      <c r="H4" s="2"/>
      <c r="I4" s="2"/>
      <c r="J4" s="2"/>
    </row>
    <row r="5" spans="1:17">
      <c r="A5" s="7" t="s">
        <v>97</v>
      </c>
      <c r="B5" s="7" t="s">
        <v>98</v>
      </c>
      <c r="C5" s="7" t="s">
        <v>99</v>
      </c>
      <c r="D5" s="4"/>
      <c r="E5" s="8" t="s">
        <v>100</v>
      </c>
      <c r="F5" s="8"/>
      <c r="G5" s="8"/>
      <c r="H5" s="8"/>
      <c r="I5" s="8"/>
      <c r="J5" s="41" t="s">
        <v>101</v>
      </c>
      <c r="K5" s="7" t="s">
        <v>102</v>
      </c>
      <c r="L5" s="4"/>
      <c r="M5" s="4"/>
      <c r="N5" s="4"/>
      <c r="O5" s="4"/>
      <c r="P5" s="4"/>
      <c r="Q5" s="4"/>
    </row>
    <row r="6" ht="15.75" spans="1:17">
      <c r="A6" s="116" t="s">
        <v>103</v>
      </c>
      <c r="B6" s="117"/>
      <c r="C6" s="117"/>
      <c r="D6" s="117"/>
      <c r="E6" s="118"/>
      <c r="F6" s="118"/>
      <c r="G6" s="118"/>
      <c r="H6" s="118"/>
      <c r="I6" s="118"/>
      <c r="J6" s="117"/>
      <c r="K6" s="4"/>
      <c r="L6" s="4"/>
      <c r="M6" s="4"/>
      <c r="N6" s="4"/>
      <c r="O6" s="4"/>
      <c r="P6" s="4"/>
      <c r="Q6" s="4"/>
    </row>
    <row r="7" spans="1:17">
      <c r="A7" t="s">
        <v>104</v>
      </c>
      <c r="B7" s="15">
        <f>'Design Converter'!H7</f>
        <v>3</v>
      </c>
      <c r="C7" t="s">
        <v>7</v>
      </c>
      <c r="E7" t="s">
        <v>105</v>
      </c>
    </row>
    <row r="8" spans="1:17">
      <c r="A8" t="s">
        <v>106</v>
      </c>
      <c r="B8" s="15">
        <f>'Design Converter'!H8</f>
        <v>4.2</v>
      </c>
      <c r="C8" t="s">
        <v>7</v>
      </c>
      <c r="E8" t="s">
        <v>107</v>
      </c>
      <c r="K8">
        <f>IF(VIN_min&lt;VIN_min,1,IF(VIN_nom&gt;VIN_max,1,0))</f>
        <v>0</v>
      </c>
    </row>
    <row r="9" spans="1:17">
      <c r="A9" t="s">
        <v>108</v>
      </c>
      <c r="B9" s="15">
        <f>'Design Converter'!H9</f>
        <v>12.6</v>
      </c>
      <c r="C9" t="s">
        <v>7</v>
      </c>
      <c r="E9" t="s">
        <v>109</v>
      </c>
    </row>
    <row r="10" customFormat="1" spans="1:17">
      <c r="A10" t="s">
        <v>110</v>
      </c>
      <c r="B10" s="15">
        <f>'Design Converter'!H12*1000</f>
        <v>700000</v>
      </c>
      <c r="C10" t="s">
        <v>111</v>
      </c>
      <c r="E10" t="s">
        <v>112</v>
      </c>
    </row>
    <row r="11" customFormat="1" spans="1:17">
      <c r="A11" t="s">
        <v>113</v>
      </c>
      <c r="B11" s="89">
        <f>(4.503*10^11)*Fsw^-1.26</f>
        <v>19439.2012767176</v>
      </c>
      <c r="C11" s="16" t="s">
        <v>35</v>
      </c>
      <c r="E11" t="s">
        <v>114</v>
      </c>
    </row>
    <row r="13" spans="1:17">
      <c r="A13" t="s">
        <v>115</v>
      </c>
      <c r="B13" s="15">
        <f>'Design Converter'!H10</f>
        <v>20</v>
      </c>
      <c r="C13" t="s">
        <v>7</v>
      </c>
      <c r="E13" t="s">
        <v>116</v>
      </c>
    </row>
    <row r="14" spans="1:17">
      <c r="A14" t="s">
        <v>117</v>
      </c>
      <c r="B14" s="15">
        <f>'Design Converter'!H11</f>
        <v>3</v>
      </c>
      <c r="C14" t="s">
        <v>12</v>
      </c>
      <c r="E14" t="s">
        <v>118</v>
      </c>
    </row>
    <row r="15" spans="1:17">
      <c r="A15" t="s">
        <v>119</v>
      </c>
      <c r="B15" s="12">
        <f>VOUT/IOUT</f>
        <v>6.66666666666667</v>
      </c>
      <c r="C15" s="16" t="s">
        <v>35</v>
      </c>
      <c r="E15" t="s">
        <v>120</v>
      </c>
    </row>
    <row r="16" spans="1:17">
      <c r="A16" t="s">
        <v>121</v>
      </c>
      <c r="B16" s="12">
        <f>VOUT*IOUT</f>
        <v>60</v>
      </c>
      <c r="C16" s="16" t="s">
        <v>18</v>
      </c>
      <c r="E16" t="s">
        <v>122</v>
      </c>
    </row>
    <row r="17" spans="1:11">
      <c r="A17" t="s">
        <v>123</v>
      </c>
      <c r="B17" s="119">
        <v>1</v>
      </c>
      <c r="E17" t="s">
        <v>124</v>
      </c>
    </row>
    <row r="19" spans="1:11">
      <c r="A19" t="s">
        <v>125</v>
      </c>
      <c r="B19" s="12">
        <f>(VOUT)/(VIN_min+VOUT)</f>
        <v>0.869565217391304</v>
      </c>
      <c r="E19" t="s">
        <v>126</v>
      </c>
    </row>
    <row r="20" customFormat="1" spans="1:11">
      <c r="A20" t="s">
        <v>127</v>
      </c>
      <c r="B20" s="10">
        <f>Constants!B20</f>
        <v>0.97</v>
      </c>
      <c r="E20" t="s">
        <v>128</v>
      </c>
    </row>
    <row r="21" customFormat="1" spans="1:11">
      <c r="A21" t="s">
        <v>129</v>
      </c>
      <c r="B21" s="120">
        <f>IF(B19&gt;Dc_max_IC,1,0)</f>
        <v>0</v>
      </c>
      <c r="E21" t="s">
        <v>130</v>
      </c>
      <c r="K21">
        <f>B21</f>
        <v>0</v>
      </c>
    </row>
    <row r="22" customFormat="1" spans="1:11">
      <c r="E22" s="17" t="s">
        <v>131</v>
      </c>
    </row>
    <row r="23" customFormat="1" spans="1:11">
      <c r="E23" s="17"/>
    </row>
    <row r="24" customFormat="1" spans="1:11">
      <c r="A24" t="s">
        <v>132</v>
      </c>
      <c r="B24" s="85">
        <v>1</v>
      </c>
      <c r="E24" s="121" t="s">
        <v>133</v>
      </c>
    </row>
    <row r="26" spans="1:11">
      <c r="A26" s="122" t="s">
        <v>22</v>
      </c>
    </row>
    <row r="27" customFormat="1" spans="1:11">
      <c r="A27" s="123" t="s">
        <v>134</v>
      </c>
      <c r="E27" t="s">
        <v>135</v>
      </c>
    </row>
    <row r="28" spans="1:11">
      <c r="A28" t="s">
        <v>136</v>
      </c>
      <c r="B28" s="15">
        <f>'Design Converter'!H20/100</f>
        <v>0.6</v>
      </c>
      <c r="E28" t="s">
        <v>137</v>
      </c>
    </row>
    <row r="29" customFormat="1" spans="1:11">
      <c r="A29" t="s">
        <v>138</v>
      </c>
      <c r="B29" s="124">
        <f>(VIN_nom^2)/(2*ILrip*IOUT*Fsw*(VIN_nom+VOUT))</f>
        <v>2.89256198347107e-7</v>
      </c>
      <c r="C29" t="s">
        <v>139</v>
      </c>
      <c r="E29" t="s">
        <v>140</v>
      </c>
    </row>
    <row r="31" customFormat="1" spans="1:11">
      <c r="A31" s="125" t="s">
        <v>141</v>
      </c>
      <c r="E31" t="s">
        <v>142</v>
      </c>
    </row>
    <row r="32" customFormat="1" spans="1:11">
      <c r="A32" s="121" t="s">
        <v>143</v>
      </c>
      <c r="B32" s="126">
        <v>0.7</v>
      </c>
      <c r="E32" t="s">
        <v>144</v>
      </c>
    </row>
    <row r="33" customFormat="1" spans="1:5">
      <c r="A33" t="s">
        <v>145</v>
      </c>
      <c r="B33" s="124">
        <f>((DC_DCM_max^2)*(VIN_min^2))/(2*IOUT*VOUT*Fsw-2*IOUT*VIN_min*Fsw)</f>
        <v>6.17647058823529e-8</v>
      </c>
      <c r="C33" t="s">
        <v>139</v>
      </c>
      <c r="E33" t="s">
        <v>146</v>
      </c>
    </row>
    <row r="34" customFormat="1" spans="1:5">
      <c r="A34" t="s">
        <v>147</v>
      </c>
      <c r="B34" s="10">
        <v>0.2</v>
      </c>
      <c r="E34" t="s">
        <v>148</v>
      </c>
    </row>
    <row r="35" customFormat="1" spans="1:5">
      <c r="A35" t="s">
        <v>149</v>
      </c>
      <c r="B35" s="124">
        <f>(1-M_L_DCM)*((VIN_min^2)*(1-(VIN_min/VOUT)))/(2*IOUT*VOUT*Fsw)</f>
        <v>7.28571428571429e-8</v>
      </c>
      <c r="C35" t="s">
        <v>139</v>
      </c>
      <c r="E35" t="s">
        <v>150</v>
      </c>
    </row>
    <row r="36" customFormat="1" spans="1:5">
      <c r="A36" t="s">
        <v>151</v>
      </c>
      <c r="B36" s="124">
        <f>MIN(B33,B35)</f>
        <v>6.17647058823529e-8</v>
      </c>
      <c r="C36" t="s">
        <v>139</v>
      </c>
      <c r="E36" t="s">
        <v>152</v>
      </c>
    </row>
    <row r="37" customFormat="1" spans="1:5">
      <c r="B37" s="127"/>
    </row>
    <row r="38" customFormat="1" spans="1:5">
      <c r="A38" t="s">
        <v>153</v>
      </c>
      <c r="B38" s="124">
        <f>IF(B21=1,B36,Lopt_2)</f>
        <v>2.89256198347107e-7</v>
      </c>
      <c r="E38" t="s">
        <v>154</v>
      </c>
    </row>
    <row r="39" customFormat="1"/>
    <row r="40" spans="1:5">
      <c r="A40" t="s">
        <v>155</v>
      </c>
      <c r="B40" s="128">
        <f>'Design Converter'!H22*10^-6</f>
        <v>1e-5</v>
      </c>
      <c r="C40" t="s">
        <v>139</v>
      </c>
      <c r="E40" t="s">
        <v>156</v>
      </c>
    </row>
    <row r="41" customFormat="1" spans="1:5">
      <c r="B41" s="128">
        <f>Lm</f>
        <v>1e-5</v>
      </c>
      <c r="E41" t="s">
        <v>157</v>
      </c>
    </row>
    <row r="42" customFormat="1" ht="15.6" customHeight="1" spans="1:5">
      <c r="A42" t="s">
        <v>158</v>
      </c>
      <c r="B42" s="129">
        <f>Lm</f>
        <v>1e-5</v>
      </c>
      <c r="E42" t="s">
        <v>159</v>
      </c>
    </row>
    <row r="43" customFormat="1" ht="15.6" customHeight="1" spans="1:5">
      <c r="B43" s="128">
        <f>Lm</f>
        <v>1e-5</v>
      </c>
      <c r="E43" t="s">
        <v>157</v>
      </c>
    </row>
    <row r="44" customFormat="1" spans="1:5">
      <c r="A44" t="s">
        <v>160</v>
      </c>
      <c r="B44" s="129">
        <f>Lm</f>
        <v>1e-5</v>
      </c>
      <c r="E44" t="s">
        <v>161</v>
      </c>
    </row>
    <row r="45" customFormat="1" spans="1:5">
      <c r="B45" s="129"/>
    </row>
    <row r="46" spans="1:5">
      <c r="A46" t="s">
        <v>162</v>
      </c>
      <c r="B46" s="15">
        <f>10*10^-3</f>
        <v>0.01</v>
      </c>
      <c r="C46" s="16" t="s">
        <v>35</v>
      </c>
      <c r="E46" t="s">
        <v>163</v>
      </c>
    </row>
    <row r="47" customFormat="1" spans="1:5">
      <c r="A47" t="s">
        <v>164</v>
      </c>
      <c r="B47" s="10">
        <v>0.2</v>
      </c>
      <c r="C47" s="16"/>
      <c r="E47" t="s">
        <v>165</v>
      </c>
    </row>
    <row r="48" spans="1:5">
      <c r="B48" t="s">
        <v>166</v>
      </c>
    </row>
    <row r="49" customFormat="1" spans="1:5">
      <c r="A49" s="17" t="s">
        <v>167</v>
      </c>
    </row>
    <row r="50" customFormat="1"/>
    <row r="51" customFormat="1" spans="1:5">
      <c r="A51" s="130" t="s">
        <v>168</v>
      </c>
    </row>
    <row r="52" customFormat="1" spans="1:5">
      <c r="A52" t="s">
        <v>169</v>
      </c>
      <c r="B52">
        <v>1</v>
      </c>
      <c r="E52" t="s">
        <v>170</v>
      </c>
    </row>
    <row r="53" customFormat="1" spans="1:5">
      <c r="A53" t="s">
        <v>171</v>
      </c>
      <c r="B53" s="131">
        <f>IF(B52=0,SQRT((2*IOUT*Lm*Fsw*VOUT/(VIN_min^2))),(VOUT/(VIN_min+VOUT)))</f>
        <v>0.869565217391304</v>
      </c>
      <c r="E53" t="s">
        <v>172</v>
      </c>
    </row>
    <row r="54" customFormat="1" spans="1:5">
      <c r="B54" s="11">
        <f>B53/Fsw</f>
        <v>1.24223602484472e-6</v>
      </c>
      <c r="C54" t="s">
        <v>173</v>
      </c>
      <c r="E54" t="s">
        <v>174</v>
      </c>
    </row>
    <row r="55" customFormat="1" spans="1:5">
      <c r="A55" s="132" t="s">
        <v>175</v>
      </c>
      <c r="B55" s="133"/>
    </row>
    <row r="56" customFormat="1" spans="1:5">
      <c r="A56" t="s">
        <v>176</v>
      </c>
      <c r="B56" s="90">
        <f>(VOUT*IOUT)/(VIN_min)</f>
        <v>20</v>
      </c>
      <c r="C56" t="s">
        <v>12</v>
      </c>
      <c r="E56" t="s">
        <v>177</v>
      </c>
    </row>
    <row r="57" customFormat="1" spans="1:5">
      <c r="A57" t="s">
        <v>178</v>
      </c>
      <c r="B57" s="88">
        <f>(VIN_min*Dc_VIN_min)/(Lm_A*Fsw)</f>
        <v>0.372670807453416</v>
      </c>
      <c r="C57" t="s">
        <v>12</v>
      </c>
      <c r="E57" t="s">
        <v>179</v>
      </c>
    </row>
    <row r="58" spans="1:5">
      <c r="A58" t="s">
        <v>180</v>
      </c>
      <c r="B58" s="88">
        <f>IF(B52=0,(VIN_min*Dc_VIN_min)/(Lm*Fsw),(ILA_avg_VIN_min/EFF_est)+(ILArip_VINmin/2))</f>
        <v>20.1863354037267</v>
      </c>
      <c r="C58" t="s">
        <v>12</v>
      </c>
      <c r="E58" t="s">
        <v>181</v>
      </c>
    </row>
    <row r="59" customFormat="1" spans="1:5">
      <c r="B59" s="11"/>
    </row>
    <row r="60" customFormat="1" spans="1:5">
      <c r="A60" s="132" t="s">
        <v>182</v>
      </c>
      <c r="B60" s="11"/>
      <c r="E60" t="s">
        <v>183</v>
      </c>
    </row>
    <row r="61" customFormat="1" spans="1:5">
      <c r="A61" t="s">
        <v>184</v>
      </c>
      <c r="B61" s="11">
        <f>IOUT</f>
        <v>3</v>
      </c>
      <c r="C61" t="s">
        <v>12</v>
      </c>
    </row>
    <row r="62" customFormat="1" spans="1:5">
      <c r="A62" t="s">
        <v>185</v>
      </c>
      <c r="B62" s="11">
        <f>(VIN_min*Dc_VIN_min)/(Lm*Fsw)</f>
        <v>0.372670807453416</v>
      </c>
      <c r="C62" t="s">
        <v>12</v>
      </c>
    </row>
    <row r="63" customFormat="1" spans="1:5">
      <c r="A63" t="s">
        <v>186</v>
      </c>
      <c r="B63" s="11">
        <f>B61+B62/2</f>
        <v>3.18633540372671</v>
      </c>
      <c r="C63" t="s">
        <v>12</v>
      </c>
    </row>
    <row r="64" customFormat="1" spans="1:5">
      <c r="B64" s="88"/>
    </row>
    <row r="65" customFormat="1" spans="1:5">
      <c r="A65" s="132" t="s">
        <v>187</v>
      </c>
      <c r="B65" s="134"/>
    </row>
    <row r="66" customFormat="1" spans="1:5">
      <c r="A66" t="s">
        <v>188</v>
      </c>
      <c r="B66" s="88">
        <f>ILA_avg_VIN_min+B61+B62</f>
        <v>23.3726708074534</v>
      </c>
      <c r="C66" t="s">
        <v>12</v>
      </c>
    </row>
    <row r="67" customFormat="1" spans="1:5">
      <c r="B67" s="134"/>
    </row>
    <row r="68" customFormat="1" spans="1:5">
      <c r="A68" s="130" t="s">
        <v>107</v>
      </c>
      <c r="B68" s="13"/>
    </row>
    <row r="69" customFormat="1" spans="1:5">
      <c r="A69" t="s">
        <v>189</v>
      </c>
      <c r="B69">
        <f>IF(((VIN_nom^2)*VOUT)/(2*Fsw*Lm*((VIN_nom+VOUT)^2))&gt;IOUT,0,1)</f>
        <v>1</v>
      </c>
      <c r="E69" t="s">
        <v>190</v>
      </c>
    </row>
    <row r="70" customFormat="1" spans="1:5">
      <c r="A70" t="s">
        <v>191</v>
      </c>
      <c r="B70" s="12">
        <f>IF(B52=0,SQRT((2*IOUT*Lm*Fsw*VOUT/(VIN_nom^2))),(VOUT/(VIN_nom+VOUT)))</f>
        <v>0.826446280991736</v>
      </c>
      <c r="E70" t="s">
        <v>192</v>
      </c>
    </row>
    <row r="71" customFormat="1" spans="1:5">
      <c r="B71" s="11">
        <f>B70/Fsw</f>
        <v>1.18063754427391e-6</v>
      </c>
      <c r="C71" t="s">
        <v>173</v>
      </c>
      <c r="E71" t="s">
        <v>174</v>
      </c>
    </row>
    <row r="72" customFormat="1" spans="1:5">
      <c r="A72" s="132" t="s">
        <v>175</v>
      </c>
      <c r="B72" s="133"/>
    </row>
    <row r="73" customFormat="1" spans="1:5">
      <c r="A73" t="s">
        <v>193</v>
      </c>
      <c r="B73" s="90">
        <f>(VOUT*IOUT)/(VIN_nom)</f>
        <v>14.2857142857143</v>
      </c>
      <c r="C73" t="s">
        <v>12</v>
      </c>
      <c r="E73" t="s">
        <v>194</v>
      </c>
    </row>
    <row r="74" spans="1:5">
      <c r="A74" t="s">
        <v>195</v>
      </c>
      <c r="B74" s="88">
        <f>(VIN_nom*Dc_VIN_nom)/(Lm*Fsw)</f>
        <v>0.495867768595041</v>
      </c>
      <c r="C74" t="s">
        <v>12</v>
      </c>
      <c r="E74" t="s">
        <v>196</v>
      </c>
    </row>
    <row r="75" spans="1:5">
      <c r="A75" t="s">
        <v>197</v>
      </c>
      <c r="B75" s="88">
        <f>IF(B69=0,(VIN_nom*Dc_VIN_nom)/(Lm*Fsw),(ILA_avg_VIN_nom/EFF_est)+(ILArip_VINnom/2))</f>
        <v>14.5336481700118</v>
      </c>
      <c r="C75" t="s">
        <v>12</v>
      </c>
      <c r="E75" t="s">
        <v>198</v>
      </c>
    </row>
    <row r="76" customFormat="1" spans="1:5">
      <c r="B76" s="134"/>
    </row>
    <row r="77" customFormat="1" spans="1:5">
      <c r="A77" s="132" t="s">
        <v>182</v>
      </c>
      <c r="B77" s="133"/>
    </row>
    <row r="78" customFormat="1" spans="1:5">
      <c r="A78" t="s">
        <v>199</v>
      </c>
      <c r="B78" s="11">
        <f>IOUT</f>
        <v>3</v>
      </c>
      <c r="C78" t="s">
        <v>12</v>
      </c>
      <c r="E78" t="s">
        <v>183</v>
      </c>
    </row>
    <row r="79" customFormat="1" spans="1:5">
      <c r="A79" t="s">
        <v>200</v>
      </c>
      <c r="B79" s="11">
        <f>(VIN_nom*Dc_VIN_nom)/(Lm*Fsw)</f>
        <v>0.495867768595041</v>
      </c>
      <c r="C79" t="s">
        <v>12</v>
      </c>
    </row>
    <row r="80" customFormat="1" spans="1:5">
      <c r="A80" t="s">
        <v>201</v>
      </c>
      <c r="B80" s="11">
        <f>B78+B79/2</f>
        <v>3.24793388429752</v>
      </c>
      <c r="C80" t="s">
        <v>12</v>
      </c>
    </row>
    <row r="81" customFormat="1" spans="1:5">
      <c r="B81" s="134"/>
    </row>
    <row r="82" customFormat="1" spans="1:5">
      <c r="A82" s="132" t="s">
        <v>187</v>
      </c>
      <c r="B82" s="134"/>
    </row>
    <row r="83" customFormat="1" spans="1:5">
      <c r="A83" t="s">
        <v>202</v>
      </c>
      <c r="B83" s="88">
        <f>ILA_avg_VIN_nom+B78+B79</f>
        <v>17.7815820543093</v>
      </c>
      <c r="C83" t="s">
        <v>12</v>
      </c>
    </row>
    <row r="84" customFormat="1" spans="1:5">
      <c r="B84" s="13"/>
    </row>
    <row r="85" customFormat="1" spans="1:5">
      <c r="A85" s="130" t="s">
        <v>109</v>
      </c>
      <c r="B85" s="13"/>
    </row>
    <row r="86" customFormat="1" spans="1:5">
      <c r="A86" t="s">
        <v>203</v>
      </c>
      <c r="B86">
        <f>IF(((VIN_nom^2)*VOUT)/(2*Fsw*Lm*((VIN_nom+VOUT)^2))&gt;IOUT,0,1)</f>
        <v>1</v>
      </c>
      <c r="E86" t="s">
        <v>190</v>
      </c>
    </row>
    <row r="87" customFormat="1" spans="1:5">
      <c r="A87" t="s">
        <v>204</v>
      </c>
      <c r="B87" s="12">
        <f>IF(B86=0,SQRT((2*IOUT*Lm*Fsw*VOUT/(VIN_max^2))),(VOUT/(VIN_max+VOUT)))</f>
        <v>0.613496932515337</v>
      </c>
      <c r="E87" t="s">
        <v>205</v>
      </c>
    </row>
    <row r="88" customFormat="1" spans="1:5">
      <c r="B88" s="11">
        <f>B87/Fsw</f>
        <v>8.76424189307625e-7</v>
      </c>
      <c r="C88" t="s">
        <v>173</v>
      </c>
      <c r="E88" t="s">
        <v>174</v>
      </c>
    </row>
    <row r="89" customFormat="1" spans="1:5">
      <c r="A89" s="132" t="s">
        <v>175</v>
      </c>
      <c r="B89" s="133"/>
    </row>
    <row r="90" customFormat="1" spans="1:5">
      <c r="A90" t="s">
        <v>206</v>
      </c>
      <c r="B90" s="90">
        <f>(VOUT*IOUT)/(VIN_max)</f>
        <v>4.76190476190476</v>
      </c>
      <c r="C90" t="s">
        <v>12</v>
      </c>
      <c r="E90" t="s">
        <v>207</v>
      </c>
    </row>
    <row r="91" spans="1:5">
      <c r="A91" t="s">
        <v>208</v>
      </c>
      <c r="B91" s="88">
        <f>(VIN_max*Dc_VIN_max)/(Lm*Fsw)</f>
        <v>1.10429447852761</v>
      </c>
      <c r="C91" t="s">
        <v>12</v>
      </c>
      <c r="E91" t="s">
        <v>209</v>
      </c>
    </row>
    <row r="92" spans="1:5">
      <c r="A92" t="s">
        <v>210</v>
      </c>
      <c r="B92" s="88">
        <f>ILA_avg_VIN_max+ILArip_VINmax/2</f>
        <v>5.31405200116857</v>
      </c>
      <c r="C92" t="s">
        <v>12</v>
      </c>
      <c r="E92" t="s">
        <v>211</v>
      </c>
    </row>
    <row r="94" customFormat="1" spans="1:5">
      <c r="A94" s="132" t="s">
        <v>182</v>
      </c>
      <c r="B94" s="133"/>
      <c r="E94" t="s">
        <v>183</v>
      </c>
    </row>
    <row r="95" customFormat="1" spans="1:5">
      <c r="A95" t="s">
        <v>212</v>
      </c>
      <c r="B95" s="11">
        <f>IOUT</f>
        <v>3</v>
      </c>
      <c r="C95" t="s">
        <v>12</v>
      </c>
    </row>
    <row r="96" customFormat="1" spans="1:5">
      <c r="A96" t="s">
        <v>213</v>
      </c>
      <c r="B96" s="11">
        <f>(VIN_max*Dc_VIN_max)/(Lm*Fsw)</f>
        <v>1.10429447852761</v>
      </c>
      <c r="C96" t="s">
        <v>12</v>
      </c>
    </row>
    <row r="97" customFormat="1" spans="1:5">
      <c r="A97" t="s">
        <v>214</v>
      </c>
      <c r="B97" s="11">
        <f>B95+B96/2</f>
        <v>3.5521472392638</v>
      </c>
      <c r="C97" t="s">
        <v>12</v>
      </c>
    </row>
    <row r="98" customFormat="1" spans="1:5">
      <c r="B98" s="88"/>
    </row>
    <row r="99" customFormat="1" spans="1:5">
      <c r="A99" s="132" t="s">
        <v>187</v>
      </c>
      <c r="B99" s="134"/>
    </row>
    <row r="100" customFormat="1" spans="1:5">
      <c r="A100" t="s">
        <v>215</v>
      </c>
      <c r="B100" s="88">
        <f>ILA_avg_VIN_max+B95+B96</f>
        <v>8.86619924043237</v>
      </c>
      <c r="C100" t="s">
        <v>12</v>
      </c>
    </row>
    <row r="101" customFormat="1" spans="1:5">
      <c r="B101" s="134"/>
    </row>
    <row r="102" spans="1:5">
      <c r="A102" s="122" t="s">
        <v>216</v>
      </c>
    </row>
    <row r="103" spans="1:5">
      <c r="A103" t="s">
        <v>217</v>
      </c>
      <c r="B103" s="15">
        <f>'Design Converter'!H26/100</f>
        <v>0.3</v>
      </c>
      <c r="E103" t="s">
        <v>218</v>
      </c>
    </row>
    <row r="104" spans="1:5">
      <c r="A104" t="s">
        <v>219</v>
      </c>
      <c r="B104" s="90">
        <f>(1+Ipk_margin)*ISW_peak_VIN_min</f>
        <v>30.3844720496894</v>
      </c>
      <c r="C104" t="s">
        <v>12</v>
      </c>
      <c r="E104" t="s">
        <v>220</v>
      </c>
    </row>
    <row r="105" customFormat="1" spans="1:5">
      <c r="B105" s="135"/>
    </row>
    <row r="106" customFormat="1" spans="1:5">
      <c r="A106" t="s">
        <v>221</v>
      </c>
      <c r="B106" s="10">
        <v>0.6</v>
      </c>
      <c r="E106" t="s">
        <v>222</v>
      </c>
    </row>
    <row r="107" spans="1:5">
      <c r="A107" t="s">
        <v>223</v>
      </c>
      <c r="B107" s="124">
        <f>(1/B106)*((Fsw*Isl*Rsl_int*Lm)/(VOUT))</f>
        <v>0.0501666666666667</v>
      </c>
      <c r="C107" s="16" t="s">
        <v>35</v>
      </c>
      <c r="E107" t="s">
        <v>224</v>
      </c>
    </row>
    <row r="108" spans="1:5">
      <c r="A108" t="s">
        <v>225</v>
      </c>
      <c r="B108" s="124">
        <f>Vcl/Ipk_selected</f>
        <v>0.00513420143502525</v>
      </c>
      <c r="C108" s="16" t="s">
        <v>35</v>
      </c>
      <c r="E108" t="s">
        <v>226</v>
      </c>
    </row>
    <row r="109" customFormat="1" spans="1:5">
      <c r="B109" s="13"/>
    </row>
    <row r="110" customFormat="1" spans="1:5">
      <c r="A110" t="s">
        <v>227</v>
      </c>
      <c r="B110" s="10">
        <v>0.833</v>
      </c>
      <c r="E110" t="s">
        <v>228</v>
      </c>
    </row>
    <row r="111" spans="1:5">
      <c r="A111" t="s">
        <v>229</v>
      </c>
      <c r="B111" s="136">
        <f>(Lm*Fsw*(Vcl+(Dc_VIN_min*Isl*Rsl_int)))/((Dc_VIN_min*Kslope*VOUT)+(Ipk_selected*Lm*Fsw))</f>
        <v>0.00711106007540525</v>
      </c>
      <c r="C111" s="16" t="s">
        <v>35</v>
      </c>
      <c r="E111" t="s">
        <v>230</v>
      </c>
    </row>
    <row r="112" spans="1:5">
      <c r="A112" t="s">
        <v>231</v>
      </c>
      <c r="B112" s="88">
        <f>(Vcl-(Ipk_selected*Rcs_w_sl))/(Isl*Dc_VIN_min)</f>
        <v>-1606.41109350083</v>
      </c>
      <c r="C112" s="16" t="s">
        <v>35</v>
      </c>
      <c r="E112" t="s">
        <v>232</v>
      </c>
    </row>
    <row r="114" spans="1:11">
      <c r="A114" t="s">
        <v>233</v>
      </c>
      <c r="B114" s="12">
        <f>IF(Rcs_wo_sl&gt;Rcs_max,1,0)</f>
        <v>0</v>
      </c>
      <c r="E114" t="s">
        <v>234</v>
      </c>
    </row>
    <row r="115" spans="1:11">
      <c r="A115" t="s">
        <v>235</v>
      </c>
      <c r="B115" s="137">
        <f>IF(B52=0,Rcs_wo_sl,IF(B114=0,Rcs_wo_sl,Rcs_w_sl))</f>
        <v>0.00513420143502525</v>
      </c>
      <c r="C115" s="16" t="s">
        <v>35</v>
      </c>
      <c r="E115" t="s">
        <v>236</v>
      </c>
    </row>
    <row r="116" spans="1:11">
      <c r="A116" t="s">
        <v>237</v>
      </c>
      <c r="B116" s="12">
        <f>IF(B52=0,0,IF(B114=0,0,B112))</f>
        <v>0</v>
      </c>
      <c r="C116" s="16" t="s">
        <v>35</v>
      </c>
      <c r="E116" t="s">
        <v>238</v>
      </c>
    </row>
    <row r="118" spans="1:11">
      <c r="A118" t="s">
        <v>239</v>
      </c>
      <c r="B118" s="138">
        <f>'Design Converter'!H30/1000</f>
        <v>0.01</v>
      </c>
      <c r="C118" s="16" t="s">
        <v>35</v>
      </c>
      <c r="E118" t="s">
        <v>240</v>
      </c>
    </row>
    <row r="119" spans="1:11">
      <c r="A119" t="s">
        <v>241</v>
      </c>
      <c r="B119" s="15">
        <f>'Design Converter'!H31</f>
        <v>0</v>
      </c>
      <c r="C119" s="16" t="s">
        <v>35</v>
      </c>
      <c r="E119" t="s">
        <v>242</v>
      </c>
    </row>
    <row r="121" spans="1:11">
      <c r="A121" t="s">
        <v>243</v>
      </c>
      <c r="B121" s="12">
        <f>(Isl*(Rsl_int+R_sl)*Fsw)/(((VOUT-VIN_min)/Lm)*R_cs)</f>
        <v>3.54117647058824</v>
      </c>
      <c r="C121" t="s">
        <v>244</v>
      </c>
      <c r="E121" t="s">
        <v>245</v>
      </c>
      <c r="K121">
        <f>IF(B69=0,0,IF(B121&lt;0.5,1,0))</f>
        <v>0</v>
      </c>
    </row>
    <row r="122" customFormat="1" spans="1:11">
      <c r="A122" t="s">
        <v>246</v>
      </c>
      <c r="B122" s="90">
        <f>(Vcl-(Isl*R_sl*Dc_VIN_min))/R_cs</f>
        <v>15.6</v>
      </c>
      <c r="C122" t="s">
        <v>12</v>
      </c>
      <c r="E122" t="s">
        <v>247</v>
      </c>
      <c r="K122">
        <f>IF(IL_pk&lt;Ipk_selected,1,0)</f>
        <v>1</v>
      </c>
    </row>
    <row r="123" spans="1:11">
      <c r="A123" t="s">
        <v>248</v>
      </c>
      <c r="B123" s="90">
        <f>(Vcl-(Isl*R_sl*Dc_VIN_max))/R_cs</f>
        <v>15.6</v>
      </c>
      <c r="C123" t="s">
        <v>12</v>
      </c>
      <c r="E123" t="s">
        <v>249</v>
      </c>
    </row>
    <row r="124" spans="1:11">
      <c r="A124" t="s">
        <v>250</v>
      </c>
      <c r="B124" s="12">
        <f>0.15</f>
        <v>0.15</v>
      </c>
      <c r="E124" t="s">
        <v>251</v>
      </c>
    </row>
    <row r="125" spans="1:11">
      <c r="A125" t="s">
        <v>252</v>
      </c>
      <c r="B125" s="88">
        <f>(1+B124)*B123</f>
        <v>17.94</v>
      </c>
      <c r="C125" t="s">
        <v>12</v>
      </c>
      <c r="E125" t="s">
        <v>253</v>
      </c>
    </row>
    <row r="127" spans="1:11">
      <c r="A127" s="130" t="s">
        <v>254</v>
      </c>
    </row>
    <row r="129" customFormat="1" spans="1:5">
      <c r="A129" s="139" t="s">
        <v>255</v>
      </c>
    </row>
    <row r="130" customFormat="1" spans="1:5">
      <c r="A130" t="s">
        <v>256</v>
      </c>
      <c r="B130" s="10">
        <v>0.05</v>
      </c>
    </row>
    <row r="131" customFormat="1" spans="1:5">
      <c r="A131" t="s">
        <v>257</v>
      </c>
      <c r="B131" s="12">
        <f>IOUT*Dc_VIN_min/(VIN_max*VCrr*Fsw)</f>
        <v>5.91540964211772e-6</v>
      </c>
      <c r="C131" t="s">
        <v>258</v>
      </c>
      <c r="E131" t="s">
        <v>259</v>
      </c>
    </row>
    <row r="132" customFormat="1" spans="1:5">
      <c r="A132" t="s">
        <v>260</v>
      </c>
      <c r="B132" s="85">
        <f>'Design Converter'!H36*(10^-6)</f>
        <v>1e-5</v>
      </c>
      <c r="C132" t="s">
        <v>258</v>
      </c>
      <c r="E132" t="s">
        <v>261</v>
      </c>
    </row>
    <row r="133" customFormat="1" spans="1:5">
      <c r="A133" t="s">
        <v>262</v>
      </c>
      <c r="B133" s="90">
        <f>(IOUT*Dc_VIN_min)/(Cac*Fsw)</f>
        <v>0.372670807453416</v>
      </c>
      <c r="C133" t="s">
        <v>7</v>
      </c>
      <c r="E133" t="s">
        <v>263</v>
      </c>
    </row>
    <row r="134" customFormat="1" spans="1:5">
      <c r="A134" t="s">
        <v>264</v>
      </c>
      <c r="B134" s="90">
        <f>IOUT*SQRT(VOUT/VIN_min)</f>
        <v>7.74596669241483</v>
      </c>
      <c r="C134" t="s">
        <v>12</v>
      </c>
      <c r="E134" t="s">
        <v>265</v>
      </c>
    </row>
    <row r="135" customFormat="1"/>
    <row r="137" spans="1:5">
      <c r="A137" s="139" t="s">
        <v>44</v>
      </c>
      <c r="E137" t="s">
        <v>266</v>
      </c>
    </row>
    <row r="139" customFormat="1" spans="1:5">
      <c r="A139" t="s">
        <v>267</v>
      </c>
      <c r="B139" s="12">
        <f>IF(B52=0,Fsw/20,(((VOUT/IOUT)*((1-Dc_VIN_min)^2))/(Lm*Dc_VIN_min))/6)</f>
        <v>2173.91304347826</v>
      </c>
      <c r="C139" t="s">
        <v>268</v>
      </c>
      <c r="E139" t="s">
        <v>269</v>
      </c>
    </row>
    <row r="140" spans="1:5">
      <c r="A140" t="s">
        <v>270</v>
      </c>
      <c r="B140" s="85">
        <f>'Design Converter'!H40/1000</f>
        <v>0.5</v>
      </c>
      <c r="C140" t="s">
        <v>7</v>
      </c>
      <c r="E140" t="s">
        <v>271</v>
      </c>
    </row>
    <row r="141" customFormat="1" spans="1:5">
      <c r="A141" t="s">
        <v>272</v>
      </c>
      <c r="B141" s="12">
        <f>IOUT-0.5*IOUT</f>
        <v>1.5</v>
      </c>
      <c r="C141" t="s">
        <v>12</v>
      </c>
    </row>
    <row r="142" spans="1:5">
      <c r="A142" t="s">
        <v>273</v>
      </c>
      <c r="B142" s="12">
        <f>B141/(Vout_rip_sel*B139)</f>
        <v>0.00138</v>
      </c>
      <c r="C142" t="s">
        <v>258</v>
      </c>
      <c r="E142" t="s">
        <v>274</v>
      </c>
    </row>
    <row r="143" spans="1:5">
      <c r="A143" t="s">
        <v>275</v>
      </c>
      <c r="B143" s="88">
        <f>IOUT*SQRT(VOUT/VIN_min)</f>
        <v>7.74596669241483</v>
      </c>
      <c r="C143" t="s">
        <v>12</v>
      </c>
      <c r="E143" t="s">
        <v>276</v>
      </c>
    </row>
    <row r="144" spans="1:5">
      <c r="A144" t="s">
        <v>277</v>
      </c>
      <c r="B144" s="15">
        <f>'Design Converter'!H43*(10^-6)</f>
        <v>0.00056</v>
      </c>
      <c r="C144" t="s">
        <v>258</v>
      </c>
      <c r="E144" t="s">
        <v>278</v>
      </c>
    </row>
    <row r="145" spans="1:6">
      <c r="A145" t="s">
        <v>279</v>
      </c>
      <c r="B145" s="15">
        <f>'Design Converter'!H44/1000</f>
        <v>0.028</v>
      </c>
      <c r="C145" s="16" t="s">
        <v>35</v>
      </c>
      <c r="E145" t="s">
        <v>280</v>
      </c>
    </row>
    <row r="146" customFormat="1"/>
    <row r="147" customFormat="1" spans="1:6">
      <c r="A147" s="139" t="s">
        <v>281</v>
      </c>
    </row>
    <row r="148" customFormat="1" spans="1:6">
      <c r="A148" t="s">
        <v>282</v>
      </c>
      <c r="B148" s="10">
        <f>Iss</f>
        <v>4</v>
      </c>
      <c r="C148" t="s">
        <v>283</v>
      </c>
      <c r="E148" t="s">
        <v>284</v>
      </c>
    </row>
    <row r="149" customFormat="1" spans="1:6">
      <c r="A149" s="140"/>
      <c r="B149" s="140"/>
      <c r="C149" s="140"/>
      <c r="D149" s="140"/>
      <c r="E149" s="140"/>
      <c r="F149" s="140"/>
    </row>
    <row r="150" customFormat="1" spans="1:6">
      <c r="A150" s="140"/>
      <c r="B150" s="140"/>
      <c r="C150" s="140"/>
      <c r="D150" s="140"/>
      <c r="E150" s="140"/>
      <c r="F150" s="140"/>
    </row>
    <row r="151" customFormat="1" spans="1:6">
      <c r="A151" s="140"/>
      <c r="B151" s="140"/>
      <c r="C151" s="140"/>
      <c r="D151" s="140"/>
      <c r="E151" s="140"/>
      <c r="F151" s="140"/>
    </row>
    <row r="152" customFormat="1"/>
    <row r="153" customFormat="1" spans="1:6">
      <c r="A153" s="139" t="s">
        <v>285</v>
      </c>
    </row>
    <row r="154" customFormat="1" spans="1:6">
      <c r="A154" s="13" t="s">
        <v>286</v>
      </c>
      <c r="B154" s="13"/>
      <c r="C154" s="13"/>
      <c r="D154" s="13"/>
      <c r="E154" s="13"/>
    </row>
    <row r="155" customFormat="1" spans="1:6">
      <c r="A155" s="13"/>
      <c r="B155" s="13"/>
      <c r="C155" s="13"/>
      <c r="D155" s="13"/>
      <c r="E155" s="13"/>
    </row>
    <row r="156" customFormat="1" spans="1:6">
      <c r="A156" s="13"/>
      <c r="B156" s="13"/>
      <c r="C156" s="13"/>
      <c r="D156" s="13"/>
      <c r="E156" s="13"/>
    </row>
    <row r="157" customFormat="1" spans="1:6">
      <c r="A157" s="13"/>
      <c r="B157" s="13"/>
      <c r="C157" s="13"/>
      <c r="D157" s="13"/>
      <c r="E157" s="13"/>
    </row>
    <row r="158" customFormat="1" spans="1:6">
      <c r="A158" s="13"/>
      <c r="B158" s="13"/>
      <c r="C158" s="13"/>
      <c r="D158" s="13"/>
      <c r="E158" s="13"/>
    </row>
    <row r="159" customFormat="1" spans="1:6">
      <c r="A159" s="13"/>
      <c r="B159" s="141"/>
      <c r="C159" s="142"/>
      <c r="D159" s="13"/>
      <c r="E159" s="13"/>
    </row>
    <row r="160" customFormat="1" spans="1:6">
      <c r="A160" s="13"/>
      <c r="B160" s="13"/>
      <c r="C160" s="142"/>
      <c r="D160" s="13"/>
      <c r="E160" s="13"/>
    </row>
    <row r="161" customFormat="1" spans="1:5">
      <c r="A161" s="13"/>
      <c r="B161" s="141"/>
      <c r="C161" s="142"/>
      <c r="D161" s="13"/>
      <c r="E161" s="13"/>
    </row>
    <row r="162" customFormat="1" spans="1:5">
      <c r="A162" s="13"/>
      <c r="B162" s="135"/>
      <c r="C162" s="13"/>
      <c r="D162" s="13"/>
      <c r="E162" s="13"/>
    </row>
    <row r="163" customFormat="1" spans="1:5">
      <c r="A163" s="13"/>
      <c r="B163" s="135"/>
      <c r="C163" s="13"/>
      <c r="D163" s="13"/>
      <c r="E163" s="13"/>
    </row>
    <row r="164" customFormat="1"/>
    <row r="165" customFormat="1"/>
    <row r="166" spans="1:5">
      <c r="A166" s="139" t="s">
        <v>287</v>
      </c>
    </row>
    <row r="167" customFormat="1" spans="1:5">
      <c r="A167" s="143" t="s">
        <v>288</v>
      </c>
      <c r="B167" s="15" t="str">
        <f>'Design Converter'!H59</f>
        <v>4V</v>
      </c>
      <c r="C167" t="s">
        <v>7</v>
      </c>
      <c r="E167" t="s">
        <v>289</v>
      </c>
    </row>
    <row r="168" customFormat="1" spans="1:5">
      <c r="A168" s="143"/>
      <c r="B168" s="13"/>
    </row>
    <row r="169" spans="1:5">
      <c r="A169" s="17" t="s">
        <v>290</v>
      </c>
    </row>
    <row r="170" customFormat="1" spans="1:5">
      <c r="A170" t="s">
        <v>291</v>
      </c>
      <c r="B170" s="15">
        <f>'Design Converter'!H62*(10^3)</f>
        <v>15000</v>
      </c>
      <c r="C170" s="16" t="s">
        <v>35</v>
      </c>
      <c r="E170" t="s">
        <v>292</v>
      </c>
    </row>
    <row r="171" customFormat="1" spans="1:5">
      <c r="A171" t="s">
        <v>293</v>
      </c>
      <c r="B171" s="89">
        <f>(RFBT*Vref)/(VOUT-Vref)</f>
        <v>1008.537886873</v>
      </c>
      <c r="C171" s="16" t="s">
        <v>35</v>
      </c>
      <c r="E171" t="s">
        <v>294</v>
      </c>
    </row>
    <row r="172" spans="1:5">
      <c r="A172" t="s">
        <v>295</v>
      </c>
      <c r="B172" s="15">
        <f>'Design Converter'!H64*(10^3)</f>
        <v>5050</v>
      </c>
      <c r="C172" s="16" t="s">
        <v>35</v>
      </c>
      <c r="E172" t="s">
        <v>296</v>
      </c>
    </row>
    <row r="173" spans="1:5">
      <c r="A173" t="s">
        <v>297</v>
      </c>
      <c r="B173" s="12">
        <f>VOUT/(RFBB+RFBT)</f>
        <v>0.000997506234413965</v>
      </c>
      <c r="C173" s="16" t="s">
        <v>12</v>
      </c>
      <c r="E173" t="s">
        <v>298</v>
      </c>
    </row>
    <row r="174" customFormat="1" spans="1:5">
      <c r="B174" s="13"/>
      <c r="C174" s="16"/>
    </row>
    <row r="175" customFormat="1" spans="1:5">
      <c r="A175" s="17" t="s">
        <v>299</v>
      </c>
      <c r="E175" t="s">
        <v>300</v>
      </c>
    </row>
    <row r="176" customFormat="1"/>
    <row r="177" customFormat="1" spans="1:5">
      <c r="A177" s="130" t="s">
        <v>301</v>
      </c>
    </row>
    <row r="178" customFormat="1" spans="1:5">
      <c r="A178" t="s">
        <v>302</v>
      </c>
      <c r="B178">
        <f>(Gcomp*(VOUT/IOUT)*(1-Dc_VIN_min))/(R_cs*Acs*(1+Dc_VIN_min))</f>
        <v>41.8604651162791</v>
      </c>
    </row>
    <row r="179" customFormat="1"/>
    <row r="180" customFormat="1" spans="1:5">
      <c r="A180" t="s">
        <v>303</v>
      </c>
      <c r="B180" s="10">
        <f>(1+Dc_VIN_min)/(Cout*(VOUT/IOUT))</f>
        <v>500.776397515528</v>
      </c>
      <c r="C180" t="s">
        <v>304</v>
      </c>
      <c r="E180" t="s">
        <v>305</v>
      </c>
    </row>
    <row r="181" customFormat="1" spans="1:5">
      <c r="A181" t="s">
        <v>306</v>
      </c>
      <c r="B181" s="12">
        <f>B180/(2*PI())</f>
        <v>79.7010390483482</v>
      </c>
      <c r="C181" t="s">
        <v>111</v>
      </c>
      <c r="E181" t="s">
        <v>307</v>
      </c>
    </row>
    <row r="182" customFormat="1" spans="1:5">
      <c r="B182" s="13"/>
    </row>
    <row r="183" customFormat="1" spans="1:5">
      <c r="A183" t="s">
        <v>308</v>
      </c>
      <c r="B183" s="10">
        <f>1/(Cout*Resr)</f>
        <v>63775.5102040816</v>
      </c>
      <c r="C183" t="s">
        <v>309</v>
      </c>
      <c r="E183" t="s">
        <v>310</v>
      </c>
    </row>
    <row r="184" customFormat="1" spans="1:5">
      <c r="A184" t="s">
        <v>311</v>
      </c>
      <c r="B184" s="12">
        <f>B183/(2*PI())</f>
        <v>10150.1876971872</v>
      </c>
      <c r="C184" t="s">
        <v>111</v>
      </c>
      <c r="E184" t="s">
        <v>312</v>
      </c>
    </row>
    <row r="185" customFormat="1" spans="1:5">
      <c r="B185" s="13"/>
    </row>
    <row r="186" customFormat="1" spans="1:5">
      <c r="A186" t="s">
        <v>313</v>
      </c>
      <c r="B186" s="10">
        <f>((VOUT/IOUT)*((1-Dc_VIN_min)^2))/(Lm*Dc_VIN_min)</f>
        <v>13043.4782608696</v>
      </c>
      <c r="E186" t="s">
        <v>314</v>
      </c>
    </row>
    <row r="187" customFormat="1" spans="1:5">
      <c r="A187" t="s">
        <v>315</v>
      </c>
      <c r="B187" s="89">
        <f>B186/(2*PI())</f>
        <v>2075.93404032907</v>
      </c>
      <c r="C187" t="s">
        <v>111</v>
      </c>
      <c r="E187" t="s">
        <v>316</v>
      </c>
    </row>
    <row r="188" customFormat="1" spans="1:5">
      <c r="B188" s="13">
        <f>Fsw/10</f>
        <v>70000</v>
      </c>
      <c r="C188" t="s">
        <v>111</v>
      </c>
      <c r="E188" t="s">
        <v>317</v>
      </c>
    </row>
    <row r="189" customFormat="1" spans="1:5">
      <c r="B189">
        <f>IF((B187/5)&lt;(B188),0,1)</f>
        <v>0</v>
      </c>
      <c r="E189" t="s">
        <v>318</v>
      </c>
    </row>
    <row r="190" customFormat="1"/>
    <row r="191" customFormat="1" spans="1:5">
      <c r="A191" t="s">
        <v>319</v>
      </c>
      <c r="B191" s="12">
        <f>(Isl*(Rsl_int+R_sl)*Fsw)</f>
        <v>60200</v>
      </c>
      <c r="C191" t="s">
        <v>244</v>
      </c>
      <c r="E191" t="s">
        <v>320</v>
      </c>
    </row>
    <row r="192" customFormat="1" spans="1:5">
      <c r="A192" t="s">
        <v>321</v>
      </c>
      <c r="B192" s="12">
        <f>(R_cs*VIN_min*Acs)/Lm</f>
        <v>3000</v>
      </c>
      <c r="C192" t="s">
        <v>244</v>
      </c>
      <c r="E192" t="s">
        <v>322</v>
      </c>
    </row>
    <row r="193" customFormat="1" spans="1:5">
      <c r="B193" s="12"/>
    </row>
    <row r="194" customFormat="1" spans="1:5">
      <c r="A194" t="s">
        <v>323</v>
      </c>
      <c r="B194" s="12">
        <f>2*PI()*Fsw</f>
        <v>4398229.71502571</v>
      </c>
      <c r="C194" t="s">
        <v>324</v>
      </c>
    </row>
    <row r="195" customFormat="1" spans="1:5">
      <c r="A195" t="s">
        <v>325</v>
      </c>
      <c r="B195" s="12">
        <f>1/(PI()*(((1-Dc_VIN_min)*(1+(B191/B192)))-0.5))</f>
        <v>0.141607879733601</v>
      </c>
    </row>
    <row r="196" customFormat="1" spans="1:5">
      <c r="E196">
        <f>fcross</f>
        <v>700</v>
      </c>
    </row>
    <row r="197" customFormat="1" spans="1:5">
      <c r="B197" s="13"/>
    </row>
    <row r="198" customFormat="1" spans="1:5">
      <c r="A198" t="s">
        <v>326</v>
      </c>
      <c r="B198" s="90">
        <f>IF(B189=0,fz_rhp/6,Fsw/10)</f>
        <v>345.989006721512</v>
      </c>
      <c r="C198" t="s">
        <v>111</v>
      </c>
      <c r="E198" t="s">
        <v>327</v>
      </c>
    </row>
    <row r="199" customFormat="1"/>
    <row r="200" customFormat="1"/>
    <row r="201" customFormat="1" spans="1:5">
      <c r="A201" t="s">
        <v>328</v>
      </c>
      <c r="B201" s="144">
        <f>SQRT(B181*fcross)</f>
        <v>236.2006082419</v>
      </c>
      <c r="C201" t="s">
        <v>111</v>
      </c>
      <c r="E201" t="s">
        <v>329</v>
      </c>
    </row>
    <row r="202" customFormat="1" spans="1:5">
      <c r="A202" t="s">
        <v>330</v>
      </c>
      <c r="B202" s="145">
        <f>fz_rhp</f>
        <v>2075.93404032907</v>
      </c>
      <c r="C202" t="s">
        <v>111</v>
      </c>
      <c r="E202" t="s">
        <v>331</v>
      </c>
    </row>
    <row r="203" customFormat="1" spans="1:5">
      <c r="A203" t="s">
        <v>332</v>
      </c>
      <c r="B203" s="15">
        <f>fcross</f>
        <v>700</v>
      </c>
      <c r="C203" t="s">
        <v>111</v>
      </c>
      <c r="E203" t="s">
        <v>333</v>
      </c>
    </row>
    <row r="204" customFormat="1"/>
    <row r="205" customFormat="1"/>
    <row r="206" customFormat="1" spans="1:5">
      <c r="A206" t="s">
        <v>334</v>
      </c>
      <c r="B206" s="90">
        <f>(2*PI()*Acs*Cout*R_cs*VOUT*fcross)/(Gcomp*Vref*gm_ea*(1-Dc_VIN_min))</f>
        <v>4162.93347512721</v>
      </c>
      <c r="C206" s="16" t="s">
        <v>35</v>
      </c>
      <c r="E206" t="s">
        <v>335</v>
      </c>
    </row>
    <row r="207" customFormat="1" spans="1:5">
      <c r="A207" t="s">
        <v>336</v>
      </c>
      <c r="B207" s="11">
        <f>1/(2*PI()*fz_ea_est*Rcomp_calc_CCM)</f>
        <v>1.61860042174292e-7</v>
      </c>
      <c r="C207" s="16" t="s">
        <v>258</v>
      </c>
      <c r="E207" t="s">
        <v>337</v>
      </c>
    </row>
    <row r="208" customFormat="1" spans="1:5">
      <c r="A208" t="s">
        <v>338</v>
      </c>
      <c r="B208" s="146">
        <f>(IOUT*Lm)/(Rcomp_calc_CCM*((1-Dc_VIN_min)^2)*(VIN_min+VOUT))</f>
        <v>1.84165005577765e-8</v>
      </c>
      <c r="C208" t="s">
        <v>258</v>
      </c>
      <c r="E208" t="s">
        <v>339</v>
      </c>
    </row>
    <row r="211" spans="1:5">
      <c r="A211" s="130" t="s">
        <v>340</v>
      </c>
      <c r="E211" s="17" t="s">
        <v>341</v>
      </c>
    </row>
    <row r="212" customFormat="1"/>
    <row r="213" customFormat="1" spans="1:5">
      <c r="A213" t="s">
        <v>342</v>
      </c>
      <c r="B213">
        <f>Fsw/((R_cs*Acs*(VIN_min/Lm))+((R_sl+Rsl_int)*Isl))</f>
        <v>233.326644636187</v>
      </c>
      <c r="C213" t="s">
        <v>244</v>
      </c>
      <c r="E213" t="s">
        <v>343</v>
      </c>
    </row>
    <row r="214" customFormat="1" spans="1:5">
      <c r="A214" t="s">
        <v>344</v>
      </c>
      <c r="B214">
        <f>(B213*2*VOUT/Dc_VIN_min)*(((VOUT/VIN_min)-1)/((2*VOUT/VIN_min)-1))</f>
        <v>4931.39016501347</v>
      </c>
      <c r="C214" t="s">
        <v>244</v>
      </c>
    </row>
    <row r="215" customFormat="1" spans="1:5">
      <c r="A215" t="s">
        <v>345</v>
      </c>
      <c r="B215">
        <f>(IOUT*((2*VOUT)-VIN_min))/(Cout*VOUT*(VOUT-VIN_min))</f>
        <v>582.983193277311</v>
      </c>
      <c r="C215" t="s">
        <v>304</v>
      </c>
    </row>
    <row r="216" customFormat="1" spans="1:5">
      <c r="B216">
        <f>B215/(2*PI())</f>
        <v>92.7846569495819</v>
      </c>
      <c r="C216" t="s">
        <v>111</v>
      </c>
    </row>
    <row r="217" customFormat="1" spans="1:5">
      <c r="A217" t="s">
        <v>346</v>
      </c>
      <c r="B217">
        <f>1/(Cout*Resr)</f>
        <v>63775.5102040816</v>
      </c>
      <c r="C217" t="s">
        <v>304</v>
      </c>
    </row>
    <row r="218" customFormat="1" spans="1:5">
      <c r="B218">
        <f>B217/(2*PI())</f>
        <v>10150.1876971872</v>
      </c>
      <c r="C218" t="s">
        <v>111</v>
      </c>
    </row>
    <row r="219" customFormat="1" spans="1:5">
      <c r="A219" t="s">
        <v>347</v>
      </c>
      <c r="B219">
        <f>2*Fsw/(Dc_VIN_min)</f>
        <v>1610000</v>
      </c>
      <c r="C219" t="s">
        <v>304</v>
      </c>
      <c r="E219" t="s">
        <v>348</v>
      </c>
    </row>
    <row r="220" customFormat="1" spans="1:5">
      <c r="B220">
        <f>B219/(2*PI())</f>
        <v>256239.458377951</v>
      </c>
      <c r="C220" t="s">
        <v>111</v>
      </c>
    </row>
    <row r="221" customFormat="1"/>
    <row r="222" customFormat="1" spans="1:5">
      <c r="A222" t="s">
        <v>349</v>
      </c>
      <c r="B222">
        <f>2*Fsw/(2*PI()*Dc_VIN_min*5)</f>
        <v>51247.8916755903</v>
      </c>
      <c r="C222" t="s">
        <v>111</v>
      </c>
      <c r="E222" t="s">
        <v>350</v>
      </c>
    </row>
    <row r="223" customFormat="1" spans="1:5">
      <c r="B223">
        <f>20*LOG(Gcomp*B214*(B215/(2*PI())))</f>
        <v>112.293760810203</v>
      </c>
      <c r="E223" t="s">
        <v>351</v>
      </c>
    </row>
    <row r="224" customFormat="1" spans="1:5">
      <c r="A224" t="s">
        <v>332</v>
      </c>
      <c r="B224" s="15">
        <f>fcross</f>
        <v>700</v>
      </c>
      <c r="C224" t="s">
        <v>111</v>
      </c>
      <c r="E224" t="s">
        <v>352</v>
      </c>
    </row>
    <row r="225" customFormat="1" spans="1:5">
      <c r="B225" s="13"/>
    </row>
    <row r="226" customFormat="1" spans="1:5">
      <c r="B226" s="13"/>
    </row>
    <row r="227" customFormat="1" spans="1:5">
      <c r="A227" t="s">
        <v>353</v>
      </c>
      <c r="B227">
        <f>(2*PI()*VOUT*fcross)/(Gcomp*Vref*gm_ea*B215*B214)</f>
        <v>33.7271359375115</v>
      </c>
      <c r="C227" t="s">
        <v>354</v>
      </c>
      <c r="E227" t="s">
        <v>335</v>
      </c>
    </row>
    <row r="228" customFormat="1" spans="1:5">
      <c r="A228" t="s">
        <v>355</v>
      </c>
      <c r="B228">
        <f>1/(2*PI()*SQRT(fcross*(B215/(2*PI())))*B227)</f>
        <v>1.85162725771634e-5</v>
      </c>
      <c r="C228" t="s">
        <v>258</v>
      </c>
      <c r="E228" t="s">
        <v>337</v>
      </c>
    </row>
    <row r="229" customFormat="1" spans="1:5">
      <c r="A229" t="s">
        <v>356</v>
      </c>
      <c r="B229">
        <f>B228/((2*PI()*B228*B227*(B219/(2*PI())))-1)</f>
        <v>1.84343070843632e-8</v>
      </c>
      <c r="C229" t="s">
        <v>258</v>
      </c>
      <c r="E229" t="s">
        <v>339</v>
      </c>
    </row>
    <row r="230" customFormat="1" ht="16.5" customHeight="1"/>
    <row r="231" customFormat="1" ht="16.5" customHeight="1" spans="1:5">
      <c r="A231" s="125" t="s">
        <v>357</v>
      </c>
    </row>
    <row r="232" customFormat="1" spans="1:5">
      <c r="B232">
        <f>IF(B52=0,B222,B198)</f>
        <v>345.989006721512</v>
      </c>
      <c r="C232" t="s">
        <v>111</v>
      </c>
      <c r="E232" t="s">
        <v>358</v>
      </c>
    </row>
    <row r="233" customFormat="1" spans="1:5">
      <c r="A233" t="s">
        <v>332</v>
      </c>
      <c r="B233" s="15">
        <f>'Design Converter'!H68*1000</f>
        <v>700</v>
      </c>
      <c r="C233" t="s">
        <v>111</v>
      </c>
      <c r="E233" t="s">
        <v>359</v>
      </c>
    </row>
    <row r="234" customFormat="1"/>
    <row r="235" customFormat="1" spans="1:5">
      <c r="A235" t="s">
        <v>360</v>
      </c>
      <c r="B235">
        <f>IF(B52=0,RCOMP_CALC_DCM,Rcomp_calc_CCM)</f>
        <v>4162.93347512721</v>
      </c>
    </row>
    <row r="236" customFormat="1" spans="1:5">
      <c r="A236" t="s">
        <v>361</v>
      </c>
      <c r="B236" s="15">
        <f>'Design Converter'!H71*1000</f>
        <v>2500</v>
      </c>
      <c r="C236" s="16" t="s">
        <v>35</v>
      </c>
      <c r="E236" t="s">
        <v>362</v>
      </c>
    </row>
    <row r="237" customFormat="1" spans="1:5">
      <c r="A237" t="s">
        <v>363</v>
      </c>
      <c r="B237">
        <f>IF(B52=0,CCOMP_CALC_DCM,CCOMP_calc_CCM)</f>
        <v>1.61860042174292e-7</v>
      </c>
    </row>
    <row r="238" customFormat="1" spans="1:5">
      <c r="A238" t="s">
        <v>364</v>
      </c>
      <c r="B238" s="15">
        <f>'Design Converter'!H72*(10^-9)</f>
        <v>2.2e-7</v>
      </c>
      <c r="C238" t="s">
        <v>258</v>
      </c>
      <c r="E238" t="s">
        <v>365</v>
      </c>
    </row>
    <row r="239" customFormat="1" spans="1:5">
      <c r="A239" t="s">
        <v>366</v>
      </c>
      <c r="B239">
        <f>IF(B52=0,CHF_CALC_DCM,CHF_CALC_CCM)</f>
        <v>1.84165005577765e-8</v>
      </c>
    </row>
    <row r="240" customFormat="1" spans="1:5">
      <c r="A240" t="s">
        <v>367</v>
      </c>
      <c r="B240" s="15">
        <f>'Design Converter'!H73*(10^-12)</f>
        <v>4.7e-9</v>
      </c>
      <c r="C240" t="s">
        <v>258</v>
      </c>
      <c r="E240" t="s">
        <v>368</v>
      </c>
    </row>
    <row r="241" customFormat="1"/>
    <row r="242" spans="1:5">
      <c r="A242" s="139" t="s">
        <v>369</v>
      </c>
    </row>
    <row r="243" customFormat="1" spans="1:5">
      <c r="A243" s="139" t="s">
        <v>80</v>
      </c>
    </row>
    <row r="244" customFormat="1" spans="1:5">
      <c r="A244" s="147" t="s">
        <v>370</v>
      </c>
      <c r="E244" t="s">
        <v>371</v>
      </c>
    </row>
    <row r="245" spans="1:5">
      <c r="A245" t="s">
        <v>372</v>
      </c>
      <c r="B245">
        <f>'Design Converter'!H88/1000</f>
        <v>0.325</v>
      </c>
      <c r="C245" t="s">
        <v>7</v>
      </c>
      <c r="E245" t="s">
        <v>373</v>
      </c>
    </row>
    <row r="246" spans="1:5">
      <c r="A246" t="s">
        <v>374</v>
      </c>
      <c r="B246">
        <f>'Design Converter'!H89*(10^-9)</f>
        <v>0</v>
      </c>
      <c r="C246" t="s">
        <v>375</v>
      </c>
      <c r="E246" t="s">
        <v>376</v>
      </c>
    </row>
    <row r="248" customFormat="1"/>
    <row r="249" spans="1:5">
      <c r="A249" s="139" t="s">
        <v>377</v>
      </c>
    </row>
    <row r="250" ht="16.5" spans="1:5">
      <c r="A250" t="s">
        <v>378</v>
      </c>
      <c r="B250" s="15">
        <f>'Design Converter'!H78*(10^-3)</f>
        <v>0.0085</v>
      </c>
      <c r="C250" s="16" t="s">
        <v>35</v>
      </c>
      <c r="E250" s="148" t="s">
        <v>69</v>
      </c>
    </row>
    <row r="251" ht="16.5" spans="1:5">
      <c r="A251" t="s">
        <v>379</v>
      </c>
      <c r="B251" s="15">
        <f>'Design Converter'!H79*(10^-9)</f>
        <v>1.5e-8</v>
      </c>
      <c r="C251" t="s">
        <v>258</v>
      </c>
      <c r="E251" s="148" t="s">
        <v>71</v>
      </c>
    </row>
    <row r="252" ht="16.5" spans="1:5">
      <c r="A252" t="s">
        <v>380</v>
      </c>
      <c r="B252" s="15">
        <f>'Design Converter'!H80*(10^-9)</f>
        <v>6.5e-9</v>
      </c>
      <c r="C252" t="s">
        <v>258</v>
      </c>
      <c r="E252" s="148" t="s">
        <v>73</v>
      </c>
    </row>
    <row r="253" ht="16.5" spans="1:5">
      <c r="A253" t="s">
        <v>381</v>
      </c>
      <c r="B253" s="15">
        <f>'Design Converter'!H81*(10^-9)</f>
        <v>3.5e-9</v>
      </c>
      <c r="C253" t="s">
        <v>258</v>
      </c>
      <c r="E253" s="148" t="s">
        <v>74</v>
      </c>
    </row>
    <row r="254" ht="16.5" spans="1:5">
      <c r="A254" t="s">
        <v>382</v>
      </c>
      <c r="B254" s="15">
        <f>'Design Converter'!H82</f>
        <v>1.3</v>
      </c>
      <c r="C254" s="16" t="s">
        <v>35</v>
      </c>
      <c r="E254" s="148" t="s">
        <v>75</v>
      </c>
    </row>
    <row r="255" customFormat="1" spans="1:5">
      <c r="A255" t="s">
        <v>383</v>
      </c>
      <c r="B255" s="10">
        <v>1.5</v>
      </c>
      <c r="C255" s="16"/>
      <c r="E255" s="148" t="s">
        <v>384</v>
      </c>
    </row>
    <row r="256" ht="16.5" spans="1:5">
      <c r="A256" t="s">
        <v>385</v>
      </c>
      <c r="B256" s="15">
        <f>'Design Converter'!H83</f>
        <v>70</v>
      </c>
      <c r="C256" s="16" t="s">
        <v>78</v>
      </c>
      <c r="E256" s="148" t="s">
        <v>77</v>
      </c>
    </row>
    <row r="257" ht="16.5" spans="1:8">
      <c r="A257" t="s">
        <v>386</v>
      </c>
      <c r="B257" s="15">
        <f>'Design Converter'!H84</f>
        <v>1.65</v>
      </c>
      <c r="C257" s="16" t="s">
        <v>7</v>
      </c>
      <c r="E257" s="148" t="s">
        <v>79</v>
      </c>
    </row>
    <row r="258" customFormat="1" spans="1:8">
      <c r="A258" t="s">
        <v>387</v>
      </c>
      <c r="B258" s="10">
        <f>Vcc</f>
        <v>7.2</v>
      </c>
      <c r="C258" s="16" t="s">
        <v>7</v>
      </c>
      <c r="E258" s="148" t="s">
        <v>388</v>
      </c>
    </row>
    <row r="259" customFormat="1" spans="1:8">
      <c r="B259" s="13"/>
      <c r="C259" s="16"/>
      <c r="E259" s="148"/>
    </row>
    <row r="260" customFormat="1" spans="1:8">
      <c r="B260" s="13"/>
      <c r="C260" s="16"/>
      <c r="E260" s="148"/>
    </row>
    <row r="261" spans="1:8">
      <c r="A261" t="s">
        <v>389</v>
      </c>
      <c r="B261" s="137">
        <f>Vth+((IOUT+(VOUT*IOUT/VIN_min))/gfs)</f>
        <v>1.97857142857143</v>
      </c>
      <c r="C261" s="16" t="s">
        <v>7</v>
      </c>
      <c r="E261" s="148" t="s">
        <v>390</v>
      </c>
    </row>
    <row r="262" spans="1:8">
      <c r="A262" t="s">
        <v>391</v>
      </c>
      <c r="B262" s="12">
        <f>(Qgd+(Qgs/2))*((Rgate+B255)/(Vcc-B261))</f>
        <v>4.42407660738714e-9</v>
      </c>
      <c r="C262" s="16" t="s">
        <v>173</v>
      </c>
      <c r="E262" s="148" t="s">
        <v>392</v>
      </c>
    </row>
    <row r="263" ht="15.75" spans="1:8">
      <c r="A263" t="s">
        <v>393</v>
      </c>
      <c r="B263" s="124">
        <f>(Qgd+(Qgs/2))*((B255+Rgate)/B261)</f>
        <v>1.16750902527076e-8</v>
      </c>
      <c r="C263" t="s">
        <v>173</v>
      </c>
      <c r="E263" s="149" t="s">
        <v>394</v>
      </c>
      <c r="H263" t="s">
        <v>395</v>
      </c>
    </row>
  </sheetData>
  <mergeCells count="2">
    <mergeCell ref="A1:J1"/>
    <mergeCell ref="E5:H5"/>
  </mergeCells>
  <pageMargins left="0.7" right="0.7" top="0.75" bottom="0.75" header="0.3" footer="0.3"/>
  <pageSetup paperSize="1" orientation="portrait"/>
  <headerFooter/>
  <ignoredErrors>
    <ignoredError sqref="B219 B217" formula="1"/>
  </ignoredErrors>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AT157"/>
  <sheetViews>
    <sheetView zoomScale="85" zoomScaleNormal="85" topLeftCell="I1" workbookViewId="0">
      <pane ySplit="6" topLeftCell="A100" activePane="bottomLeft" state="frozen"/>
      <selection/>
      <selection pane="bottomLeft" activeCell="AU42" sqref="AU42"/>
    </sheetView>
  </sheetViews>
  <sheetFormatPr defaultColWidth="9" defaultRowHeight="15"/>
  <cols>
    <col min="10" max="10" width="10" customWidth="1"/>
    <col min="18" max="18" width="8.85714285714286"/>
    <col min="21" max="21" width="8.85714285714286"/>
    <col min="24" max="24" width="8.85714285714286"/>
    <col min="25" max="25" width="12" customWidth="1"/>
    <col min="28" max="28" width="8.85714285714286"/>
    <col min="30" max="30" width="8.85714285714286"/>
    <col min="35" max="35" width="8.85714285714286"/>
    <col min="39" max="39" width="11" customWidth="1"/>
    <col min="42" max="43" width="8.85714285714286"/>
  </cols>
  <sheetData>
    <row r="1" ht="27.75" spans="1:46">
      <c r="A1" s="1" t="s">
        <v>90</v>
      </c>
      <c r="B1" s="1"/>
      <c r="C1" s="1"/>
      <c r="D1" s="1"/>
      <c r="E1" s="1"/>
      <c r="F1" s="1"/>
      <c r="G1" s="1"/>
      <c r="H1" s="1"/>
      <c r="I1" s="1"/>
      <c r="J1" s="1"/>
      <c r="K1" s="1"/>
      <c r="L1" s="1"/>
      <c r="M1" s="1"/>
    </row>
    <row r="2" spans="1:46">
      <c r="Y2" s="40" t="s">
        <v>396</v>
      </c>
      <c r="Z2" s="40"/>
      <c r="AA2" s="40"/>
      <c r="AB2" s="40"/>
      <c r="AC2" s="40"/>
      <c r="AD2" s="40"/>
    </row>
    <row r="4" ht="15.75" spans="1:46">
      <c r="R4" s="96"/>
      <c r="S4" s="96"/>
      <c r="T4" s="96"/>
      <c r="U4" s="96"/>
      <c r="V4" s="96"/>
      <c r="W4" s="96"/>
      <c r="X4" s="96"/>
      <c r="Y4" s="96"/>
      <c r="Z4" s="96"/>
      <c r="AA4" s="96"/>
      <c r="AB4" s="96"/>
      <c r="AC4" s="96"/>
      <c r="AD4" s="96"/>
      <c r="AE4" s="96"/>
      <c r="AF4" s="96"/>
      <c r="AG4" s="96"/>
      <c r="AH4" s="96"/>
      <c r="AI4" s="96"/>
      <c r="AJ4" s="96"/>
      <c r="AK4" s="96"/>
      <c r="AL4" s="96"/>
      <c r="AM4" s="96"/>
      <c r="AN4" s="96"/>
      <c r="AO4" s="96"/>
      <c r="AP4" s="96"/>
      <c r="AQ4" s="96"/>
      <c r="AR4" s="96"/>
      <c r="AS4" s="96"/>
      <c r="AT4" s="96"/>
    </row>
    <row r="5" ht="30" spans="1:46">
      <c r="R5" s="97" t="s">
        <v>397</v>
      </c>
      <c r="S5" s="98"/>
      <c r="T5" s="98"/>
      <c r="U5" s="99"/>
      <c r="V5" s="97" t="s">
        <v>398</v>
      </c>
      <c r="W5" s="98"/>
      <c r="X5" s="99"/>
      <c r="Y5" s="97" t="s">
        <v>399</v>
      </c>
      <c r="Z5" s="98"/>
      <c r="AA5" s="98"/>
      <c r="AB5" s="98"/>
      <c r="AC5" s="98"/>
      <c r="AD5" s="99"/>
      <c r="AE5" s="97" t="s">
        <v>400</v>
      </c>
      <c r="AF5" s="98"/>
      <c r="AG5" s="98"/>
      <c r="AH5" s="98"/>
      <c r="AI5" s="99"/>
      <c r="AJ5" s="97" t="s">
        <v>401</v>
      </c>
      <c r="AK5" s="98"/>
      <c r="AL5" s="98"/>
      <c r="AM5" s="98"/>
      <c r="AN5" s="99"/>
      <c r="AO5" s="100" t="s">
        <v>402</v>
      </c>
      <c r="AP5" s="101"/>
      <c r="AQ5" s="102"/>
      <c r="AR5" s="100" t="s">
        <v>403</v>
      </c>
      <c r="AS5" s="103"/>
      <c r="AT5" s="104"/>
    </row>
    <row r="6" ht="18.75" spans="1:46">
      <c r="R6" s="105" t="s">
        <v>115</v>
      </c>
      <c r="S6" s="106" t="s">
        <v>117</v>
      </c>
      <c r="T6" s="106" t="s">
        <v>404</v>
      </c>
      <c r="U6" s="107" t="s">
        <v>405</v>
      </c>
      <c r="V6" s="105" t="s">
        <v>406</v>
      </c>
      <c r="W6" s="106" t="s">
        <v>407</v>
      </c>
      <c r="X6" s="107" t="s">
        <v>408</v>
      </c>
      <c r="Y6" s="108" t="s">
        <v>409</v>
      </c>
      <c r="Z6" s="109" t="s">
        <v>410</v>
      </c>
      <c r="AA6" s="109" t="s">
        <v>411</v>
      </c>
      <c r="AB6" s="110" t="s">
        <v>412</v>
      </c>
      <c r="AC6" s="110" t="s">
        <v>413</v>
      </c>
      <c r="AD6" s="111" t="s">
        <v>414</v>
      </c>
      <c r="AE6" s="108" t="s">
        <v>415</v>
      </c>
      <c r="AF6" s="109" t="s">
        <v>416</v>
      </c>
      <c r="AG6" s="110" t="s">
        <v>417</v>
      </c>
      <c r="AH6" s="110" t="s">
        <v>418</v>
      </c>
      <c r="AI6" s="111" t="s">
        <v>419</v>
      </c>
      <c r="AJ6" s="108" t="s">
        <v>420</v>
      </c>
      <c r="AK6" s="109" t="s">
        <v>421</v>
      </c>
      <c r="AL6" s="109" t="s">
        <v>422</v>
      </c>
      <c r="AM6" s="109" t="s">
        <v>423</v>
      </c>
      <c r="AN6" s="112" t="s">
        <v>424</v>
      </c>
      <c r="AO6" s="108" t="s">
        <v>425</v>
      </c>
      <c r="AP6" s="109" t="s">
        <v>426</v>
      </c>
      <c r="AQ6" s="112" t="s">
        <v>427</v>
      </c>
      <c r="AR6" s="108" t="s">
        <v>428</v>
      </c>
      <c r="AS6" s="109" t="s">
        <v>429</v>
      </c>
      <c r="AT6" s="112" t="s">
        <v>430</v>
      </c>
    </row>
    <row r="7" spans="1:46">
      <c r="Q7">
        <v>0</v>
      </c>
      <c r="R7" s="105">
        <f t="shared" ref="R7:R70" si="0">VOUT</f>
        <v>20</v>
      </c>
      <c r="S7" s="106">
        <f t="shared" ref="S7:S38" si="1">Q7*$O$12</f>
        <v>0</v>
      </c>
      <c r="T7" s="106">
        <f t="shared" ref="T7:T70" si="2">VIN_var</f>
        <v>4</v>
      </c>
      <c r="U7" s="107">
        <f t="shared" ref="U7:U38" si="3">(R7*S7)/(T7*EFF_est)</f>
        <v>0</v>
      </c>
      <c r="V7" s="105">
        <f t="shared" ref="V7:V38" si="4">IF(S7&lt;((T7^2)*R7)/(2*Fsw*Lm*((T7+R7)^2)),1,2)</f>
        <v>1</v>
      </c>
      <c r="W7" s="106">
        <f t="shared" ref="W7:W38" si="5">CHOOSE(V7,SQRT(2*Lm*R7*S7*Fsw)/T7,R7/(T7+R7))</f>
        <v>0</v>
      </c>
      <c r="X7" s="107">
        <f t="shared" ref="X7:X38" si="6">CHOOSE(V7,(Lm*Z7*Fsw)/(R7),1-W7)</f>
        <v>0</v>
      </c>
      <c r="Y7" s="105">
        <f t="shared" ref="Y7" si="7">(T7*W7)/(Lm*Fsw)</f>
        <v>0</v>
      </c>
      <c r="Z7" s="106">
        <f t="shared" ref="Z7:Z19" si="8">U7+S7+(Y7)</f>
        <v>0</v>
      </c>
      <c r="AA7" s="106">
        <f>CHOOSE(V7,Z7*SQRT((W7+X7)/3),SQRT((U7^2)+((Y7^2)/12)))</f>
        <v>0</v>
      </c>
      <c r="AB7" s="106">
        <v>0</v>
      </c>
      <c r="AC7" s="106">
        <f t="shared" ref="AC7" si="9">(AA7^2)*Rdcr</f>
        <v>0</v>
      </c>
      <c r="AD7" s="107">
        <f>AB7+AC7</f>
        <v>0</v>
      </c>
      <c r="AE7" s="105">
        <f>U7*S7*W7</f>
        <v>0</v>
      </c>
      <c r="AF7" s="106">
        <f>AA7</f>
        <v>0</v>
      </c>
      <c r="AG7" s="106">
        <f t="shared" ref="AG7:AG38" si="10">(AF7^2)*RDS_on</f>
        <v>0</v>
      </c>
      <c r="AH7" s="106">
        <f t="shared" ref="AH7:AH38" si="11">(((R7+T7)*(U7+S7))/2)*Fsw*(tr_sw+tf_sw)</f>
        <v>0</v>
      </c>
      <c r="AI7" s="107">
        <f>AG7+AH7</f>
        <v>0</v>
      </c>
      <c r="AJ7" s="105">
        <f>S7</f>
        <v>0</v>
      </c>
      <c r="AK7" s="106">
        <f t="shared" ref="AK7" si="12">CHOOSE(V7,Z7*SQRT(X7/3),SQRT(X7*((Z7^2)+((Y7^2)/3)-(Y7*Z7))))</f>
        <v>0</v>
      </c>
      <c r="AL7" s="106">
        <f t="shared" ref="AL7" si="13">S7*Vd_rect</f>
        <v>0</v>
      </c>
      <c r="AM7" s="106">
        <f t="shared" ref="AM7:AM38" si="14">(R7+T7+Vd_rect)*Qrr*Fsw</f>
        <v>0</v>
      </c>
      <c r="AN7" s="107">
        <f>AL7+AM7</f>
        <v>0</v>
      </c>
      <c r="AO7" s="105">
        <f t="shared" ref="AO7:AO38" si="15">(AF7^2)*R_cs</f>
        <v>0</v>
      </c>
      <c r="AP7" s="106">
        <f t="shared" ref="AP7:AP70" si="16">Qg_tot*Vcc*Fsw</f>
        <v>0.0756</v>
      </c>
      <c r="AQ7" s="107">
        <f t="shared" ref="AQ7" si="17">IQ*T7</f>
        <v>0.0132</v>
      </c>
      <c r="AR7" s="105">
        <f>AO7+AN7+AI7+AP7+AQ7</f>
        <v>0.0888</v>
      </c>
      <c r="AS7" s="106">
        <f>R7*S7</f>
        <v>0</v>
      </c>
      <c r="AT7" s="107">
        <f>(AS7/(AS7+AR7))*100</f>
        <v>0</v>
      </c>
    </row>
    <row r="8" spans="1:46">
      <c r="M8">
        <f>Fsw</f>
        <v>700000</v>
      </c>
      <c r="Q8">
        <v>1</v>
      </c>
      <c r="R8" s="105">
        <f t="shared" si="0"/>
        <v>20</v>
      </c>
      <c r="S8" s="106">
        <f t="shared" si="1"/>
        <v>0.02</v>
      </c>
      <c r="T8" s="106">
        <f t="shared" si="2"/>
        <v>4</v>
      </c>
      <c r="U8" s="107">
        <f t="shared" si="3"/>
        <v>0.1</v>
      </c>
      <c r="V8" s="105">
        <f t="shared" si="4"/>
        <v>1</v>
      </c>
      <c r="W8" s="106">
        <f t="shared" si="5"/>
        <v>0.591607978309962</v>
      </c>
      <c r="X8" s="107">
        <f t="shared" si="6"/>
        <v>0.160321595661992</v>
      </c>
      <c r="Y8" s="105">
        <f t="shared" ref="Y8:Y71" si="18">(T8*W8)/(Lm*Fsw)</f>
        <v>0.338061701891407</v>
      </c>
      <c r="Z8" s="106">
        <f t="shared" si="8"/>
        <v>0.458061701891407</v>
      </c>
      <c r="AA8" s="106">
        <f t="shared" ref="AA8:AA71" si="19">CHOOSE(V8,Z8*SQRT((W8+X8)/3),SQRT((U8^2)+((Y8^2)/12)))</f>
        <v>0.229325283003713</v>
      </c>
      <c r="AB8" s="106">
        <v>0</v>
      </c>
      <c r="AC8" s="106">
        <f t="shared" ref="AC8:AC71" si="20">(AA8^2)*Rdcr</f>
        <v>0.00052590085424733</v>
      </c>
      <c r="AD8" s="107">
        <f t="shared" ref="AD8:AD71" si="21">AB8+AC8</f>
        <v>0.00052590085424733</v>
      </c>
      <c r="AE8" s="105">
        <f t="shared" ref="AE8:AE71" si="22">U8*S8*W8</f>
        <v>0.00118321595661992</v>
      </c>
      <c r="AF8" s="106">
        <f t="shared" ref="AF8:AF71" si="23">AA8</f>
        <v>0.229325283003713</v>
      </c>
      <c r="AG8" s="106">
        <f t="shared" si="10"/>
        <v>0.000447015726110231</v>
      </c>
      <c r="AH8" s="106">
        <f t="shared" si="11"/>
        <v>0.0162279601949755</v>
      </c>
      <c r="AI8" s="107">
        <f t="shared" ref="AI8:AI71" si="24">AG8+AH8</f>
        <v>0.0166749759210857</v>
      </c>
      <c r="AJ8" s="105">
        <f t="shared" ref="AJ8:AJ71" si="25">S8</f>
        <v>0.02</v>
      </c>
      <c r="AK8" s="106">
        <f t="shared" ref="AK8:AK71" si="26">CHOOSE(V8,Z8*SQRT(X8/3),SQRT(X8*((Z8^2)+((Y8^2)/3)-(Y8*Z8))))</f>
        <v>0.105891077698193</v>
      </c>
      <c r="AL8" s="106">
        <f t="shared" ref="AL8:AL71" si="27">S8*Vd_rect</f>
        <v>0.0065</v>
      </c>
      <c r="AM8" s="106">
        <f t="shared" si="14"/>
        <v>0</v>
      </c>
      <c r="AN8" s="107">
        <f t="shared" ref="AN8:AN71" si="28">AL8+AM8</f>
        <v>0.0065</v>
      </c>
      <c r="AO8" s="105">
        <f t="shared" si="15"/>
        <v>0.00052590085424733</v>
      </c>
      <c r="AP8" s="106">
        <f t="shared" si="16"/>
        <v>0.0756</v>
      </c>
      <c r="AQ8" s="107">
        <f t="shared" ref="AQ8:AQ71" si="29">IQ*T8</f>
        <v>0.0132</v>
      </c>
      <c r="AR8" s="105">
        <f t="shared" ref="AR8:AR71" si="30">AO8+AN8+AI8+AP8+AQ8</f>
        <v>0.112500876775333</v>
      </c>
      <c r="AS8" s="106">
        <f t="shared" ref="AS8:AS71" si="31">R8*S8</f>
        <v>0.4</v>
      </c>
      <c r="AT8" s="107">
        <f t="shared" ref="AT8:AT71" si="32">(AS8/(AS8+AR8))*100</f>
        <v>78.0486469636518</v>
      </c>
    </row>
    <row r="9" spans="1:46">
      <c r="N9" s="106" t="s">
        <v>431</v>
      </c>
      <c r="O9" s="106">
        <f>VIN_var</f>
        <v>4</v>
      </c>
      <c r="P9" t="s">
        <v>7</v>
      </c>
      <c r="Q9">
        <v>2</v>
      </c>
      <c r="R9" s="105">
        <f t="shared" si="0"/>
        <v>20</v>
      </c>
      <c r="S9" s="106">
        <f t="shared" si="1"/>
        <v>0.04</v>
      </c>
      <c r="T9" s="106">
        <f t="shared" si="2"/>
        <v>4</v>
      </c>
      <c r="U9" s="107">
        <f t="shared" si="3"/>
        <v>0.2</v>
      </c>
      <c r="V9" s="105">
        <f t="shared" si="4"/>
        <v>2</v>
      </c>
      <c r="W9" s="106">
        <f t="shared" si="5"/>
        <v>0.833333333333333</v>
      </c>
      <c r="X9" s="107">
        <f t="shared" si="6"/>
        <v>0.166666666666667</v>
      </c>
      <c r="Y9" s="105">
        <f t="shared" si="18"/>
        <v>0.476190476190476</v>
      </c>
      <c r="Z9" s="106">
        <f t="shared" si="8"/>
        <v>0.716190476190476</v>
      </c>
      <c r="AA9" s="106">
        <f t="shared" si="19"/>
        <v>0.242685902903065</v>
      </c>
      <c r="AB9" s="106">
        <v>0</v>
      </c>
      <c r="AC9" s="106">
        <f t="shared" si="20"/>
        <v>0.00058896447467876</v>
      </c>
      <c r="AD9" s="107">
        <f t="shared" si="21"/>
        <v>0.00058896447467876</v>
      </c>
      <c r="AE9" s="105">
        <f t="shared" si="22"/>
        <v>0.00666666666666667</v>
      </c>
      <c r="AF9" s="106">
        <f t="shared" si="23"/>
        <v>0.242685902903065</v>
      </c>
      <c r="AG9" s="106">
        <f t="shared" si="10"/>
        <v>0.000500619803476946</v>
      </c>
      <c r="AH9" s="106">
        <f t="shared" si="11"/>
        <v>0.032455920389951</v>
      </c>
      <c r="AI9" s="107">
        <f t="shared" si="24"/>
        <v>0.0329565401934279</v>
      </c>
      <c r="AJ9" s="105">
        <f t="shared" si="25"/>
        <v>0.04</v>
      </c>
      <c r="AK9" s="106">
        <f t="shared" si="26"/>
        <v>0.203089267793426</v>
      </c>
      <c r="AL9" s="106">
        <f t="shared" si="27"/>
        <v>0.013</v>
      </c>
      <c r="AM9" s="106">
        <f t="shared" si="14"/>
        <v>0</v>
      </c>
      <c r="AN9" s="107">
        <f t="shared" si="28"/>
        <v>0.013</v>
      </c>
      <c r="AO9" s="105">
        <f t="shared" si="15"/>
        <v>0.00058896447467876</v>
      </c>
      <c r="AP9" s="106">
        <f t="shared" si="16"/>
        <v>0.0756</v>
      </c>
      <c r="AQ9" s="107">
        <f t="shared" si="29"/>
        <v>0.0132</v>
      </c>
      <c r="AR9" s="105">
        <f t="shared" si="30"/>
        <v>0.135345504668107</v>
      </c>
      <c r="AS9" s="106">
        <f t="shared" si="31"/>
        <v>0.8</v>
      </c>
      <c r="AT9" s="107">
        <f t="shared" si="32"/>
        <v>85.5298920032623</v>
      </c>
    </row>
    <row r="10" spans="1:46">
      <c r="N10" s="106"/>
      <c r="O10" s="106"/>
      <c r="Q10">
        <v>3</v>
      </c>
      <c r="R10" s="105">
        <f t="shared" si="0"/>
        <v>20</v>
      </c>
      <c r="S10" s="106">
        <f t="shared" si="1"/>
        <v>0.06</v>
      </c>
      <c r="T10" s="106">
        <f t="shared" si="2"/>
        <v>4</v>
      </c>
      <c r="U10" s="107">
        <f t="shared" si="3"/>
        <v>0.3</v>
      </c>
      <c r="V10" s="105">
        <f t="shared" si="4"/>
        <v>2</v>
      </c>
      <c r="W10" s="106">
        <f t="shared" si="5"/>
        <v>0.833333333333333</v>
      </c>
      <c r="X10" s="107">
        <f t="shared" si="6"/>
        <v>0.166666666666667</v>
      </c>
      <c r="Y10" s="105">
        <f t="shared" si="18"/>
        <v>0.476190476190476</v>
      </c>
      <c r="Z10" s="106">
        <f t="shared" si="8"/>
        <v>0.836190476190476</v>
      </c>
      <c r="AA10" s="106">
        <f t="shared" si="19"/>
        <v>0.329994617331671</v>
      </c>
      <c r="AB10" s="106">
        <v>0</v>
      </c>
      <c r="AC10" s="106">
        <f t="shared" si="20"/>
        <v>0.00108896447467876</v>
      </c>
      <c r="AD10" s="107">
        <f t="shared" si="21"/>
        <v>0.00108896447467876</v>
      </c>
      <c r="AE10" s="105">
        <f t="shared" si="22"/>
        <v>0.015</v>
      </c>
      <c r="AF10" s="106">
        <f t="shared" si="23"/>
        <v>0.329994617331671</v>
      </c>
      <c r="AG10" s="106">
        <f t="shared" si="10"/>
        <v>0.000925619803476946</v>
      </c>
      <c r="AH10" s="106">
        <f t="shared" si="11"/>
        <v>0.0486838805849264</v>
      </c>
      <c r="AI10" s="107">
        <f t="shared" si="24"/>
        <v>0.0496095003884034</v>
      </c>
      <c r="AJ10" s="105">
        <f t="shared" si="25"/>
        <v>0.06</v>
      </c>
      <c r="AK10" s="106">
        <f t="shared" si="26"/>
        <v>0.250537542529417</v>
      </c>
      <c r="AL10" s="106">
        <f t="shared" si="27"/>
        <v>0.0195</v>
      </c>
      <c r="AM10" s="106">
        <f t="shared" si="14"/>
        <v>0</v>
      </c>
      <c r="AN10" s="107">
        <f t="shared" si="28"/>
        <v>0.0195</v>
      </c>
      <c r="AO10" s="105">
        <f t="shared" si="15"/>
        <v>0.00108896447467876</v>
      </c>
      <c r="AP10" s="106">
        <f t="shared" si="16"/>
        <v>0.0756</v>
      </c>
      <c r="AQ10" s="107">
        <f t="shared" si="29"/>
        <v>0.0132</v>
      </c>
      <c r="AR10" s="105">
        <f t="shared" si="30"/>
        <v>0.158998464863082</v>
      </c>
      <c r="AS10" s="106">
        <f t="shared" si="31"/>
        <v>1.2</v>
      </c>
      <c r="AT10" s="107">
        <f t="shared" si="32"/>
        <v>88.3003204952773</v>
      </c>
    </row>
    <row r="11" spans="1:46">
      <c r="N11" s="106" t="s">
        <v>432</v>
      </c>
      <c r="O11" s="106">
        <v>150</v>
      </c>
      <c r="Q11">
        <v>4</v>
      </c>
      <c r="R11" s="105">
        <f t="shared" si="0"/>
        <v>20</v>
      </c>
      <c r="S11" s="106">
        <f t="shared" si="1"/>
        <v>0.08</v>
      </c>
      <c r="T11" s="106">
        <f t="shared" si="2"/>
        <v>4</v>
      </c>
      <c r="U11" s="107">
        <f t="shared" si="3"/>
        <v>0.4</v>
      </c>
      <c r="V11" s="105">
        <f t="shared" si="4"/>
        <v>2</v>
      </c>
      <c r="W11" s="106">
        <f t="shared" si="5"/>
        <v>0.833333333333333</v>
      </c>
      <c r="X11" s="107">
        <f t="shared" si="6"/>
        <v>0.166666666666667</v>
      </c>
      <c r="Y11" s="105">
        <f t="shared" si="18"/>
        <v>0.476190476190476</v>
      </c>
      <c r="Z11" s="106">
        <f t="shared" si="8"/>
        <v>0.956190476190476</v>
      </c>
      <c r="AA11" s="106">
        <f t="shared" si="19"/>
        <v>0.422961520079399</v>
      </c>
      <c r="AB11" s="106">
        <v>0</v>
      </c>
      <c r="AC11" s="106">
        <f t="shared" si="20"/>
        <v>0.00178896447467876</v>
      </c>
      <c r="AD11" s="107">
        <f t="shared" si="21"/>
        <v>0.00178896447467876</v>
      </c>
      <c r="AE11" s="105">
        <f t="shared" si="22"/>
        <v>0.0266666666666667</v>
      </c>
      <c r="AF11" s="106">
        <f t="shared" si="23"/>
        <v>0.422961520079399</v>
      </c>
      <c r="AG11" s="106">
        <f t="shared" si="10"/>
        <v>0.00152061980347695</v>
      </c>
      <c r="AH11" s="106">
        <f t="shared" si="11"/>
        <v>0.0649118407799019</v>
      </c>
      <c r="AI11" s="107">
        <f t="shared" si="24"/>
        <v>0.0664324605833789</v>
      </c>
      <c r="AJ11" s="105">
        <f t="shared" si="25"/>
        <v>0.08</v>
      </c>
      <c r="AK11" s="106">
        <f t="shared" si="26"/>
        <v>0.298484287258959</v>
      </c>
      <c r="AL11" s="106">
        <f t="shared" si="27"/>
        <v>0.026</v>
      </c>
      <c r="AM11" s="106">
        <f t="shared" si="14"/>
        <v>0</v>
      </c>
      <c r="AN11" s="107">
        <f t="shared" si="28"/>
        <v>0.026</v>
      </c>
      <c r="AO11" s="105">
        <f t="shared" si="15"/>
        <v>0.00178896447467876</v>
      </c>
      <c r="AP11" s="106">
        <f t="shared" si="16"/>
        <v>0.0756</v>
      </c>
      <c r="AQ11" s="107">
        <f t="shared" si="29"/>
        <v>0.0132</v>
      </c>
      <c r="AR11" s="105">
        <f t="shared" si="30"/>
        <v>0.183021425058058</v>
      </c>
      <c r="AS11" s="106">
        <f t="shared" si="31"/>
        <v>1.6</v>
      </c>
      <c r="AT11" s="107">
        <f t="shared" si="32"/>
        <v>89.7353210406825</v>
      </c>
    </row>
    <row r="12" spans="1:46">
      <c r="N12" s="106" t="s">
        <v>433</v>
      </c>
      <c r="O12" s="106">
        <f>IOUT/(O11)</f>
        <v>0.02</v>
      </c>
      <c r="Q12">
        <v>5</v>
      </c>
      <c r="R12" s="105">
        <f t="shared" si="0"/>
        <v>20</v>
      </c>
      <c r="S12" s="106">
        <f t="shared" si="1"/>
        <v>0.1</v>
      </c>
      <c r="T12" s="106">
        <f t="shared" si="2"/>
        <v>4</v>
      </c>
      <c r="U12" s="107">
        <f t="shared" si="3"/>
        <v>0.5</v>
      </c>
      <c r="V12" s="105">
        <f t="shared" si="4"/>
        <v>2</v>
      </c>
      <c r="W12" s="106">
        <f t="shared" si="5"/>
        <v>0.833333333333333</v>
      </c>
      <c r="X12" s="107">
        <f t="shared" si="6"/>
        <v>0.166666666666667</v>
      </c>
      <c r="Y12" s="105">
        <f t="shared" si="18"/>
        <v>0.476190476190476</v>
      </c>
      <c r="Z12" s="106">
        <f t="shared" si="8"/>
        <v>1.07619047619048</v>
      </c>
      <c r="AA12" s="106">
        <f t="shared" si="19"/>
        <v>0.518552261076814</v>
      </c>
      <c r="AB12" s="106">
        <v>0</v>
      </c>
      <c r="AC12" s="106">
        <f t="shared" si="20"/>
        <v>0.00268896447467876</v>
      </c>
      <c r="AD12" s="107">
        <f t="shared" si="21"/>
        <v>0.00268896447467876</v>
      </c>
      <c r="AE12" s="105">
        <f t="shared" si="22"/>
        <v>0.0416666666666667</v>
      </c>
      <c r="AF12" s="106">
        <f t="shared" si="23"/>
        <v>0.518552261076814</v>
      </c>
      <c r="AG12" s="106">
        <f t="shared" si="10"/>
        <v>0.00228561980347695</v>
      </c>
      <c r="AH12" s="106">
        <f t="shared" si="11"/>
        <v>0.0811398009748774</v>
      </c>
      <c r="AI12" s="107">
        <f t="shared" si="24"/>
        <v>0.0834254207783543</v>
      </c>
      <c r="AJ12" s="105">
        <f t="shared" si="25"/>
        <v>0.1</v>
      </c>
      <c r="AK12" s="106">
        <f t="shared" si="26"/>
        <v>0.346722770040126</v>
      </c>
      <c r="AL12" s="106">
        <f t="shared" si="27"/>
        <v>0.0325</v>
      </c>
      <c r="AM12" s="106">
        <f t="shared" si="14"/>
        <v>0</v>
      </c>
      <c r="AN12" s="107">
        <f t="shared" si="28"/>
        <v>0.0325</v>
      </c>
      <c r="AO12" s="105">
        <f t="shared" si="15"/>
        <v>0.00268896447467876</v>
      </c>
      <c r="AP12" s="106">
        <f t="shared" si="16"/>
        <v>0.0756</v>
      </c>
      <c r="AQ12" s="107">
        <f t="shared" si="29"/>
        <v>0.0132</v>
      </c>
      <c r="AR12" s="105">
        <f t="shared" si="30"/>
        <v>0.207414385253033</v>
      </c>
      <c r="AS12" s="106">
        <f t="shared" si="31"/>
        <v>2</v>
      </c>
      <c r="AT12" s="107">
        <f t="shared" si="32"/>
        <v>90.6037404377404</v>
      </c>
    </row>
    <row r="13" spans="1:46">
      <c r="Q13">
        <v>6</v>
      </c>
      <c r="R13" s="105">
        <f t="shared" si="0"/>
        <v>20</v>
      </c>
      <c r="S13" s="106">
        <f t="shared" si="1"/>
        <v>0.12</v>
      </c>
      <c r="T13" s="106">
        <f t="shared" si="2"/>
        <v>4</v>
      </c>
      <c r="U13" s="107">
        <f t="shared" si="3"/>
        <v>0.6</v>
      </c>
      <c r="V13" s="105">
        <f t="shared" si="4"/>
        <v>2</v>
      </c>
      <c r="W13" s="106">
        <f t="shared" si="5"/>
        <v>0.833333333333333</v>
      </c>
      <c r="X13" s="107">
        <f t="shared" si="6"/>
        <v>0.166666666666667</v>
      </c>
      <c r="Y13" s="105">
        <f t="shared" si="18"/>
        <v>0.476190476190476</v>
      </c>
      <c r="Z13" s="106">
        <f t="shared" si="8"/>
        <v>1.19619047619048</v>
      </c>
      <c r="AA13" s="106">
        <f t="shared" si="19"/>
        <v>0.615545650190037</v>
      </c>
      <c r="AB13" s="106">
        <v>0</v>
      </c>
      <c r="AC13" s="106">
        <f t="shared" si="20"/>
        <v>0.00378896447467876</v>
      </c>
      <c r="AD13" s="107">
        <f t="shared" si="21"/>
        <v>0.00378896447467876</v>
      </c>
      <c r="AE13" s="105">
        <f t="shared" si="22"/>
        <v>0.06</v>
      </c>
      <c r="AF13" s="106">
        <f t="shared" si="23"/>
        <v>0.615545650190037</v>
      </c>
      <c r="AG13" s="106">
        <f t="shared" si="10"/>
        <v>0.00322061980347695</v>
      </c>
      <c r="AH13" s="106">
        <f t="shared" si="11"/>
        <v>0.0973677611698529</v>
      </c>
      <c r="AI13" s="107">
        <f t="shared" si="24"/>
        <v>0.10058838097333</v>
      </c>
      <c r="AJ13" s="105">
        <f t="shared" si="25"/>
        <v>0.12</v>
      </c>
      <c r="AK13" s="106">
        <f t="shared" si="26"/>
        <v>0.395146161297447</v>
      </c>
      <c r="AL13" s="106">
        <f t="shared" si="27"/>
        <v>0.039</v>
      </c>
      <c r="AM13" s="106">
        <f t="shared" si="14"/>
        <v>0</v>
      </c>
      <c r="AN13" s="107">
        <f t="shared" si="28"/>
        <v>0.039</v>
      </c>
      <c r="AO13" s="105">
        <f t="shared" si="15"/>
        <v>0.00378896447467876</v>
      </c>
      <c r="AP13" s="106">
        <f t="shared" si="16"/>
        <v>0.0756</v>
      </c>
      <c r="AQ13" s="107">
        <f t="shared" si="29"/>
        <v>0.0132</v>
      </c>
      <c r="AR13" s="105">
        <f t="shared" si="30"/>
        <v>0.232177345448009</v>
      </c>
      <c r="AS13" s="106">
        <f t="shared" si="31"/>
        <v>2.4</v>
      </c>
      <c r="AT13" s="107">
        <f t="shared" si="32"/>
        <v>91.179266630741</v>
      </c>
    </row>
    <row r="14" spans="1:46">
      <c r="Q14">
        <v>7</v>
      </c>
      <c r="R14" s="105">
        <f t="shared" si="0"/>
        <v>20</v>
      </c>
      <c r="S14" s="106">
        <f t="shared" si="1"/>
        <v>0.14</v>
      </c>
      <c r="T14" s="106">
        <f t="shared" si="2"/>
        <v>4</v>
      </c>
      <c r="U14" s="107">
        <f t="shared" si="3"/>
        <v>0.7</v>
      </c>
      <c r="V14" s="105">
        <f t="shared" si="4"/>
        <v>2</v>
      </c>
      <c r="W14" s="106">
        <f t="shared" si="5"/>
        <v>0.833333333333333</v>
      </c>
      <c r="X14" s="107">
        <f t="shared" si="6"/>
        <v>0.166666666666667</v>
      </c>
      <c r="Y14" s="105">
        <f t="shared" si="18"/>
        <v>0.476190476190476</v>
      </c>
      <c r="Z14" s="106">
        <f t="shared" si="8"/>
        <v>1.31619047619048</v>
      </c>
      <c r="AA14" s="106">
        <f t="shared" si="19"/>
        <v>0.713369783119439</v>
      </c>
      <c r="AB14" s="106">
        <v>0</v>
      </c>
      <c r="AC14" s="106">
        <f t="shared" si="20"/>
        <v>0.00508896447467876</v>
      </c>
      <c r="AD14" s="107">
        <f t="shared" si="21"/>
        <v>0.00508896447467876</v>
      </c>
      <c r="AE14" s="105">
        <f t="shared" si="22"/>
        <v>0.0816666666666667</v>
      </c>
      <c r="AF14" s="106">
        <f t="shared" si="23"/>
        <v>0.713369783119439</v>
      </c>
      <c r="AG14" s="106">
        <f t="shared" si="10"/>
        <v>0.00432561980347695</v>
      </c>
      <c r="AH14" s="106">
        <f t="shared" si="11"/>
        <v>0.113595721364828</v>
      </c>
      <c r="AI14" s="107">
        <f t="shared" si="24"/>
        <v>0.117921341168305</v>
      </c>
      <c r="AJ14" s="105">
        <f t="shared" si="25"/>
        <v>0.14</v>
      </c>
      <c r="AK14" s="106">
        <f t="shared" si="26"/>
        <v>0.443693924132298</v>
      </c>
      <c r="AL14" s="106">
        <f t="shared" si="27"/>
        <v>0.0455</v>
      </c>
      <c r="AM14" s="106">
        <f t="shared" si="14"/>
        <v>0</v>
      </c>
      <c r="AN14" s="107">
        <f t="shared" si="28"/>
        <v>0.0455</v>
      </c>
      <c r="AO14" s="105">
        <f t="shared" si="15"/>
        <v>0.00508896447467876</v>
      </c>
      <c r="AP14" s="106">
        <f t="shared" si="16"/>
        <v>0.0756</v>
      </c>
      <c r="AQ14" s="107">
        <f t="shared" si="29"/>
        <v>0.0132</v>
      </c>
      <c r="AR14" s="105">
        <f t="shared" si="30"/>
        <v>0.257310305642984</v>
      </c>
      <c r="AS14" s="106">
        <f t="shared" si="31"/>
        <v>2.8</v>
      </c>
      <c r="AT14" s="107">
        <f t="shared" si="32"/>
        <v>91.5837687405149</v>
      </c>
    </row>
    <row r="15" spans="1:46">
      <c r="O15">
        <f>0.205*2.5/(Lm*Fsw)</f>
        <v>0.0732142857142857</v>
      </c>
      <c r="Q15">
        <v>8</v>
      </c>
      <c r="R15" s="105">
        <f t="shared" si="0"/>
        <v>20</v>
      </c>
      <c r="S15" s="106">
        <f t="shared" si="1"/>
        <v>0.16</v>
      </c>
      <c r="T15" s="106">
        <f t="shared" si="2"/>
        <v>4</v>
      </c>
      <c r="U15" s="107">
        <f t="shared" si="3"/>
        <v>0.8</v>
      </c>
      <c r="V15" s="105">
        <f t="shared" si="4"/>
        <v>2</v>
      </c>
      <c r="W15" s="106">
        <f t="shared" si="5"/>
        <v>0.833333333333333</v>
      </c>
      <c r="X15" s="107">
        <f t="shared" si="6"/>
        <v>0.166666666666667</v>
      </c>
      <c r="Y15" s="105">
        <f t="shared" si="18"/>
        <v>0.476190476190476</v>
      </c>
      <c r="Z15" s="106">
        <f t="shared" si="8"/>
        <v>1.43619047619048</v>
      </c>
      <c r="AA15" s="106">
        <f t="shared" si="19"/>
        <v>0.81172436668359</v>
      </c>
      <c r="AB15" s="106">
        <v>0</v>
      </c>
      <c r="AC15" s="106">
        <f t="shared" si="20"/>
        <v>0.00658896447467876</v>
      </c>
      <c r="AD15" s="107">
        <f t="shared" si="21"/>
        <v>0.00658896447467876</v>
      </c>
      <c r="AE15" s="105">
        <f t="shared" si="22"/>
        <v>0.106666666666667</v>
      </c>
      <c r="AF15" s="106">
        <f t="shared" si="23"/>
        <v>0.81172436668359</v>
      </c>
      <c r="AG15" s="106">
        <f t="shared" si="10"/>
        <v>0.00560061980347695</v>
      </c>
      <c r="AH15" s="106">
        <f t="shared" si="11"/>
        <v>0.129823681559804</v>
      </c>
      <c r="AI15" s="107">
        <f t="shared" si="24"/>
        <v>0.135424301363281</v>
      </c>
      <c r="AJ15" s="105">
        <f t="shared" si="25"/>
        <v>0.16</v>
      </c>
      <c r="AK15" s="106">
        <f t="shared" si="26"/>
        <v>0.492329267701735</v>
      </c>
      <c r="AL15" s="106">
        <f t="shared" si="27"/>
        <v>0.052</v>
      </c>
      <c r="AM15" s="106">
        <f t="shared" si="14"/>
        <v>0</v>
      </c>
      <c r="AN15" s="107">
        <f t="shared" si="28"/>
        <v>0.052</v>
      </c>
      <c r="AO15" s="105">
        <f t="shared" si="15"/>
        <v>0.00658896447467876</v>
      </c>
      <c r="AP15" s="106">
        <f t="shared" si="16"/>
        <v>0.0756</v>
      </c>
      <c r="AQ15" s="107">
        <f t="shared" si="29"/>
        <v>0.0132</v>
      </c>
      <c r="AR15" s="105">
        <f t="shared" si="30"/>
        <v>0.28281326583796</v>
      </c>
      <c r="AS15" s="106">
        <f t="shared" si="31"/>
        <v>3.2</v>
      </c>
      <c r="AT15" s="107">
        <f t="shared" si="32"/>
        <v>91.8797465080312</v>
      </c>
    </row>
    <row r="16" spans="1:46">
      <c r="Q16">
        <v>9</v>
      </c>
      <c r="R16" s="105">
        <f t="shared" si="0"/>
        <v>20</v>
      </c>
      <c r="S16" s="106">
        <f t="shared" si="1"/>
        <v>0.18</v>
      </c>
      <c r="T16" s="106">
        <f t="shared" si="2"/>
        <v>4</v>
      </c>
      <c r="U16" s="107">
        <f t="shared" si="3"/>
        <v>0.9</v>
      </c>
      <c r="V16" s="105">
        <f t="shared" si="4"/>
        <v>2</v>
      </c>
      <c r="W16" s="106">
        <f t="shared" si="5"/>
        <v>0.833333333333333</v>
      </c>
      <c r="X16" s="107">
        <f t="shared" si="6"/>
        <v>0.166666666666667</v>
      </c>
      <c r="Y16" s="105">
        <f t="shared" si="18"/>
        <v>0.476190476190476</v>
      </c>
      <c r="Z16" s="106">
        <f t="shared" si="8"/>
        <v>1.55619047619048</v>
      </c>
      <c r="AA16" s="106">
        <f t="shared" si="19"/>
        <v>0.910437503328963</v>
      </c>
      <c r="AB16" s="106">
        <v>0</v>
      </c>
      <c r="AC16" s="106">
        <f t="shared" si="20"/>
        <v>0.00828896447467876</v>
      </c>
      <c r="AD16" s="107">
        <f t="shared" si="21"/>
        <v>0.00828896447467876</v>
      </c>
      <c r="AE16" s="105">
        <f t="shared" si="22"/>
        <v>0.135</v>
      </c>
      <c r="AF16" s="106">
        <f t="shared" si="23"/>
        <v>0.910437503328963</v>
      </c>
      <c r="AG16" s="106">
        <f t="shared" si="10"/>
        <v>0.00704561980347695</v>
      </c>
      <c r="AH16" s="106">
        <f t="shared" si="11"/>
        <v>0.146051641754779</v>
      </c>
      <c r="AI16" s="107">
        <f t="shared" si="24"/>
        <v>0.153097261558256</v>
      </c>
      <c r="AJ16" s="105">
        <f t="shared" si="25"/>
        <v>0.18</v>
      </c>
      <c r="AK16" s="106">
        <f t="shared" si="26"/>
        <v>0.541028573514871</v>
      </c>
      <c r="AL16" s="106">
        <f t="shared" si="27"/>
        <v>0.0585</v>
      </c>
      <c r="AM16" s="106">
        <f t="shared" si="14"/>
        <v>0</v>
      </c>
      <c r="AN16" s="107">
        <f t="shared" si="28"/>
        <v>0.0585</v>
      </c>
      <c r="AO16" s="105">
        <f t="shared" si="15"/>
        <v>0.00828896447467876</v>
      </c>
      <c r="AP16" s="106">
        <f t="shared" si="16"/>
        <v>0.0756</v>
      </c>
      <c r="AQ16" s="107">
        <f t="shared" si="29"/>
        <v>0.0132</v>
      </c>
      <c r="AR16" s="105">
        <f t="shared" si="30"/>
        <v>0.308686226032935</v>
      </c>
      <c r="AS16" s="106">
        <f t="shared" si="31"/>
        <v>3.6</v>
      </c>
      <c r="AT16" s="107">
        <f t="shared" si="32"/>
        <v>92.1025580417021</v>
      </c>
    </row>
    <row r="17" spans="17:46">
      <c r="Q17">
        <v>10</v>
      </c>
      <c r="R17" s="105">
        <f t="shared" si="0"/>
        <v>20</v>
      </c>
      <c r="S17" s="106">
        <f t="shared" si="1"/>
        <v>0.2</v>
      </c>
      <c r="T17" s="106">
        <f t="shared" si="2"/>
        <v>4</v>
      </c>
      <c r="U17" s="107">
        <f t="shared" si="3"/>
        <v>1</v>
      </c>
      <c r="V17" s="105">
        <f t="shared" si="4"/>
        <v>2</v>
      </c>
      <c r="W17" s="106">
        <f t="shared" si="5"/>
        <v>0.833333333333333</v>
      </c>
      <c r="X17" s="107">
        <f t="shared" si="6"/>
        <v>0.166666666666667</v>
      </c>
      <c r="Y17" s="105">
        <f t="shared" si="18"/>
        <v>0.476190476190476</v>
      </c>
      <c r="Z17" s="106">
        <f t="shared" si="8"/>
        <v>1.67619047619048</v>
      </c>
      <c r="AA17" s="106">
        <f t="shared" si="19"/>
        <v>1.00940400606887</v>
      </c>
      <c r="AB17" s="106">
        <v>0</v>
      </c>
      <c r="AC17" s="106">
        <f t="shared" si="20"/>
        <v>0.0101889644746788</v>
      </c>
      <c r="AD17" s="107">
        <f t="shared" si="21"/>
        <v>0.0101889644746788</v>
      </c>
      <c r="AE17" s="105">
        <f t="shared" si="22"/>
        <v>0.166666666666667</v>
      </c>
      <c r="AF17" s="106">
        <f t="shared" si="23"/>
        <v>1.00940400606887</v>
      </c>
      <c r="AG17" s="106">
        <f t="shared" si="10"/>
        <v>0.00866061980347695</v>
      </c>
      <c r="AH17" s="106">
        <f t="shared" si="11"/>
        <v>0.162279601949755</v>
      </c>
      <c r="AI17" s="107">
        <f t="shared" si="24"/>
        <v>0.170940221753232</v>
      </c>
      <c r="AJ17" s="105">
        <f t="shared" si="25"/>
        <v>0.2</v>
      </c>
      <c r="AK17" s="106">
        <f t="shared" si="26"/>
        <v>0.589775997208555</v>
      </c>
      <c r="AL17" s="106">
        <f t="shared" si="27"/>
        <v>0.065</v>
      </c>
      <c r="AM17" s="106">
        <f t="shared" si="14"/>
        <v>0</v>
      </c>
      <c r="AN17" s="107">
        <f t="shared" si="28"/>
        <v>0.065</v>
      </c>
      <c r="AO17" s="105">
        <f t="shared" si="15"/>
        <v>0.0101889644746788</v>
      </c>
      <c r="AP17" s="106">
        <f t="shared" si="16"/>
        <v>0.0756</v>
      </c>
      <c r="AQ17" s="107">
        <f t="shared" si="29"/>
        <v>0.0132</v>
      </c>
      <c r="AR17" s="105">
        <f t="shared" si="30"/>
        <v>0.334929186227911</v>
      </c>
      <c r="AS17" s="106">
        <f t="shared" si="31"/>
        <v>4</v>
      </c>
      <c r="AT17" s="107">
        <f t="shared" si="32"/>
        <v>92.2737103228357</v>
      </c>
    </row>
    <row r="18" spans="17:46">
      <c r="Q18">
        <v>11</v>
      </c>
      <c r="R18" s="105">
        <f t="shared" si="0"/>
        <v>20</v>
      </c>
      <c r="S18" s="106">
        <f t="shared" si="1"/>
        <v>0.22</v>
      </c>
      <c r="T18" s="106">
        <f t="shared" si="2"/>
        <v>4</v>
      </c>
      <c r="U18" s="107">
        <f t="shared" si="3"/>
        <v>1.1</v>
      </c>
      <c r="V18" s="105">
        <f t="shared" si="4"/>
        <v>2</v>
      </c>
      <c r="W18" s="106">
        <f t="shared" si="5"/>
        <v>0.833333333333333</v>
      </c>
      <c r="X18" s="107">
        <f t="shared" si="6"/>
        <v>0.166666666666667</v>
      </c>
      <c r="Y18" s="105">
        <f t="shared" si="18"/>
        <v>0.476190476190476</v>
      </c>
      <c r="Z18" s="106">
        <f t="shared" si="8"/>
        <v>1.79619047619048</v>
      </c>
      <c r="AA18" s="106">
        <f t="shared" si="19"/>
        <v>1.10855601909325</v>
      </c>
      <c r="AB18" s="106">
        <v>0</v>
      </c>
      <c r="AC18" s="106">
        <f t="shared" si="20"/>
        <v>0.0122889644746788</v>
      </c>
      <c r="AD18" s="107">
        <f t="shared" si="21"/>
        <v>0.0122889644746788</v>
      </c>
      <c r="AE18" s="105">
        <f t="shared" si="22"/>
        <v>0.201666666666667</v>
      </c>
      <c r="AF18" s="106">
        <f t="shared" si="23"/>
        <v>1.10855601909325</v>
      </c>
      <c r="AG18" s="106">
        <f t="shared" si="10"/>
        <v>0.010445619803477</v>
      </c>
      <c r="AH18" s="106">
        <f t="shared" si="11"/>
        <v>0.17850756214473</v>
      </c>
      <c r="AI18" s="107">
        <f t="shared" si="24"/>
        <v>0.188953181948207</v>
      </c>
      <c r="AJ18" s="105">
        <f t="shared" si="25"/>
        <v>0.22</v>
      </c>
      <c r="AK18" s="106">
        <f t="shared" si="26"/>
        <v>0.638560518985597</v>
      </c>
      <c r="AL18" s="106">
        <f t="shared" si="27"/>
        <v>0.0715</v>
      </c>
      <c r="AM18" s="106">
        <f t="shared" si="14"/>
        <v>0</v>
      </c>
      <c r="AN18" s="107">
        <f t="shared" si="28"/>
        <v>0.0715</v>
      </c>
      <c r="AO18" s="105">
        <f t="shared" si="15"/>
        <v>0.0122889644746788</v>
      </c>
      <c r="AP18" s="106">
        <f t="shared" si="16"/>
        <v>0.0756</v>
      </c>
      <c r="AQ18" s="107">
        <f t="shared" si="29"/>
        <v>0.0132</v>
      </c>
      <c r="AR18" s="105">
        <f t="shared" si="30"/>
        <v>0.361542146422886</v>
      </c>
      <c r="AS18" s="106">
        <f t="shared" si="31"/>
        <v>4.4</v>
      </c>
      <c r="AT18" s="107">
        <f t="shared" si="32"/>
        <v>92.4070367266518</v>
      </c>
    </row>
    <row r="19" spans="17:46">
      <c r="Q19">
        <v>12</v>
      </c>
      <c r="R19" s="105">
        <f t="shared" si="0"/>
        <v>20</v>
      </c>
      <c r="S19" s="106">
        <f t="shared" si="1"/>
        <v>0.24</v>
      </c>
      <c r="T19" s="106">
        <f t="shared" si="2"/>
        <v>4</v>
      </c>
      <c r="U19" s="107">
        <f t="shared" si="3"/>
        <v>1.2</v>
      </c>
      <c r="V19" s="105">
        <f t="shared" si="4"/>
        <v>2</v>
      </c>
      <c r="W19" s="106">
        <f t="shared" si="5"/>
        <v>0.833333333333333</v>
      </c>
      <c r="X19" s="107">
        <f t="shared" si="6"/>
        <v>0.166666666666667</v>
      </c>
      <c r="Y19" s="105">
        <f t="shared" si="18"/>
        <v>0.476190476190476</v>
      </c>
      <c r="Z19" s="106">
        <f t="shared" si="8"/>
        <v>1.91619047619048</v>
      </c>
      <c r="AA19" s="106">
        <f t="shared" si="19"/>
        <v>1.2078478577486</v>
      </c>
      <c r="AB19" s="106">
        <v>0</v>
      </c>
      <c r="AC19" s="106">
        <f t="shared" si="20"/>
        <v>0.0145889644746788</v>
      </c>
      <c r="AD19" s="107">
        <f t="shared" si="21"/>
        <v>0.0145889644746788</v>
      </c>
      <c r="AE19" s="105">
        <f t="shared" si="22"/>
        <v>0.24</v>
      </c>
      <c r="AF19" s="106">
        <f t="shared" si="23"/>
        <v>1.2078478577486</v>
      </c>
      <c r="AG19" s="106">
        <f t="shared" si="10"/>
        <v>0.0124006198034769</v>
      </c>
      <c r="AH19" s="106">
        <f t="shared" si="11"/>
        <v>0.194735522339706</v>
      </c>
      <c r="AI19" s="107">
        <f t="shared" si="24"/>
        <v>0.207136142143183</v>
      </c>
      <c r="AJ19" s="105">
        <f t="shared" si="25"/>
        <v>0.24</v>
      </c>
      <c r="AK19" s="106">
        <f t="shared" si="26"/>
        <v>0.687374240083933</v>
      </c>
      <c r="AL19" s="106">
        <f t="shared" si="27"/>
        <v>0.078</v>
      </c>
      <c r="AM19" s="106">
        <f t="shared" si="14"/>
        <v>0</v>
      </c>
      <c r="AN19" s="107">
        <f t="shared" si="28"/>
        <v>0.078</v>
      </c>
      <c r="AO19" s="105">
        <f t="shared" si="15"/>
        <v>0.0145889644746788</v>
      </c>
      <c r="AP19" s="106">
        <f t="shared" si="16"/>
        <v>0.0756</v>
      </c>
      <c r="AQ19" s="107">
        <f t="shared" si="29"/>
        <v>0.0132</v>
      </c>
      <c r="AR19" s="105">
        <f t="shared" si="30"/>
        <v>0.388525106617861</v>
      </c>
      <c r="AS19" s="106">
        <f t="shared" si="31"/>
        <v>4.8</v>
      </c>
      <c r="AT19" s="107">
        <f t="shared" si="32"/>
        <v>92.5118391328143</v>
      </c>
    </row>
    <row r="20" spans="17:46">
      <c r="Q20">
        <v>13</v>
      </c>
      <c r="R20" s="105">
        <f t="shared" si="0"/>
        <v>20</v>
      </c>
      <c r="S20" s="106">
        <f t="shared" si="1"/>
        <v>0.26</v>
      </c>
      <c r="T20" s="106">
        <f t="shared" si="2"/>
        <v>4</v>
      </c>
      <c r="U20" s="107">
        <f t="shared" si="3"/>
        <v>1.3</v>
      </c>
      <c r="V20" s="105">
        <f t="shared" si="4"/>
        <v>2</v>
      </c>
      <c r="W20" s="106">
        <f t="shared" si="5"/>
        <v>0.833333333333333</v>
      </c>
      <c r="X20" s="107">
        <f t="shared" si="6"/>
        <v>0.166666666666667</v>
      </c>
      <c r="Y20" s="105">
        <f t="shared" si="18"/>
        <v>0.476190476190476</v>
      </c>
      <c r="Z20" s="106">
        <f t="shared" ref="Z20:Z71" si="33">CHOOSE(V20,Y20,U20+S20+(Y20))</f>
        <v>2.03619047619048</v>
      </c>
      <c r="AA20" s="106">
        <f t="shared" si="19"/>
        <v>1.30724766110629</v>
      </c>
      <c r="AB20" s="106">
        <v>0</v>
      </c>
      <c r="AC20" s="106">
        <f t="shared" si="20"/>
        <v>0.0170889644746788</v>
      </c>
      <c r="AD20" s="107">
        <f t="shared" si="21"/>
        <v>0.0170889644746788</v>
      </c>
      <c r="AE20" s="105">
        <f t="shared" si="22"/>
        <v>0.281666666666667</v>
      </c>
      <c r="AF20" s="106">
        <f t="shared" si="23"/>
        <v>1.30724766110629</v>
      </c>
      <c r="AG20" s="106">
        <f t="shared" si="10"/>
        <v>0.0145256198034769</v>
      </c>
      <c r="AH20" s="106">
        <f t="shared" si="11"/>
        <v>0.210963482534681</v>
      </c>
      <c r="AI20" s="107">
        <f t="shared" si="24"/>
        <v>0.225489102338158</v>
      </c>
      <c r="AJ20" s="105">
        <f t="shared" si="25"/>
        <v>0.26</v>
      </c>
      <c r="AK20" s="106">
        <f t="shared" si="26"/>
        <v>0.736211352435409</v>
      </c>
      <c r="AL20" s="106">
        <f t="shared" si="27"/>
        <v>0.0845</v>
      </c>
      <c r="AM20" s="106">
        <f t="shared" si="14"/>
        <v>0</v>
      </c>
      <c r="AN20" s="107">
        <f t="shared" si="28"/>
        <v>0.0845</v>
      </c>
      <c r="AO20" s="105">
        <f t="shared" si="15"/>
        <v>0.0170889644746788</v>
      </c>
      <c r="AP20" s="106">
        <f t="shared" si="16"/>
        <v>0.0756</v>
      </c>
      <c r="AQ20" s="107">
        <f t="shared" si="29"/>
        <v>0.0132</v>
      </c>
      <c r="AR20" s="105">
        <f t="shared" si="30"/>
        <v>0.415878066812837</v>
      </c>
      <c r="AS20" s="106">
        <f t="shared" si="31"/>
        <v>5.2</v>
      </c>
      <c r="AT20" s="107">
        <f t="shared" si="32"/>
        <v>92.5946029834501</v>
      </c>
    </row>
    <row r="21" spans="17:46">
      <c r="Q21">
        <v>14</v>
      </c>
      <c r="R21" s="105">
        <f t="shared" si="0"/>
        <v>20</v>
      </c>
      <c r="S21" s="106">
        <f t="shared" si="1"/>
        <v>0.28</v>
      </c>
      <c r="T21" s="106">
        <f t="shared" si="2"/>
        <v>4</v>
      </c>
      <c r="U21" s="107">
        <f t="shared" si="3"/>
        <v>1.4</v>
      </c>
      <c r="V21" s="105">
        <f t="shared" si="4"/>
        <v>2</v>
      </c>
      <c r="W21" s="106">
        <f t="shared" si="5"/>
        <v>0.833333333333333</v>
      </c>
      <c r="X21" s="107">
        <f t="shared" si="6"/>
        <v>0.166666666666667</v>
      </c>
      <c r="Y21" s="105">
        <f t="shared" si="18"/>
        <v>0.476190476190476</v>
      </c>
      <c r="Z21" s="106">
        <f t="shared" si="33"/>
        <v>2.15619047619048</v>
      </c>
      <c r="AA21" s="106">
        <f t="shared" si="19"/>
        <v>1.40673254297605</v>
      </c>
      <c r="AB21" s="106">
        <v>0</v>
      </c>
      <c r="AC21" s="106">
        <f t="shared" si="20"/>
        <v>0.0197889644746788</v>
      </c>
      <c r="AD21" s="107">
        <f t="shared" si="21"/>
        <v>0.0197889644746788</v>
      </c>
      <c r="AE21" s="105">
        <f t="shared" si="22"/>
        <v>0.326666666666667</v>
      </c>
      <c r="AF21" s="106">
        <f t="shared" si="23"/>
        <v>1.40673254297605</v>
      </c>
      <c r="AG21" s="106">
        <f t="shared" si="10"/>
        <v>0.016820619803477</v>
      </c>
      <c r="AH21" s="106">
        <f t="shared" si="11"/>
        <v>0.227191442729657</v>
      </c>
      <c r="AI21" s="107">
        <f t="shared" si="24"/>
        <v>0.244012062533134</v>
      </c>
      <c r="AJ21" s="105">
        <f t="shared" si="25"/>
        <v>0.28</v>
      </c>
      <c r="AK21" s="106">
        <f t="shared" si="26"/>
        <v>0.785067490715661</v>
      </c>
      <c r="AL21" s="106">
        <f t="shared" si="27"/>
        <v>0.091</v>
      </c>
      <c r="AM21" s="106">
        <f t="shared" si="14"/>
        <v>0</v>
      </c>
      <c r="AN21" s="107">
        <f t="shared" si="28"/>
        <v>0.091</v>
      </c>
      <c r="AO21" s="105">
        <f t="shared" si="15"/>
        <v>0.0197889644746788</v>
      </c>
      <c r="AP21" s="106">
        <f t="shared" si="16"/>
        <v>0.0756</v>
      </c>
      <c r="AQ21" s="107">
        <f t="shared" si="29"/>
        <v>0.0132</v>
      </c>
      <c r="AR21" s="105">
        <f t="shared" si="30"/>
        <v>0.443601027007812</v>
      </c>
      <c r="AS21" s="106">
        <f t="shared" si="31"/>
        <v>5.6</v>
      </c>
      <c r="AT21" s="107">
        <f t="shared" si="32"/>
        <v>92.659988225142</v>
      </c>
    </row>
    <row r="22" spans="17:46">
      <c r="Q22">
        <v>15</v>
      </c>
      <c r="R22" s="105">
        <f t="shared" si="0"/>
        <v>20</v>
      </c>
      <c r="S22" s="106">
        <f t="shared" si="1"/>
        <v>0.3</v>
      </c>
      <c r="T22" s="106">
        <f t="shared" si="2"/>
        <v>4</v>
      </c>
      <c r="U22" s="107">
        <f t="shared" si="3"/>
        <v>1.5</v>
      </c>
      <c r="V22" s="105">
        <f t="shared" si="4"/>
        <v>2</v>
      </c>
      <c r="W22" s="106">
        <f t="shared" si="5"/>
        <v>0.833333333333333</v>
      </c>
      <c r="X22" s="107">
        <f t="shared" si="6"/>
        <v>0.166666666666667</v>
      </c>
      <c r="Y22" s="105">
        <f t="shared" si="18"/>
        <v>0.476190476190476</v>
      </c>
      <c r="Z22" s="106">
        <f t="shared" si="33"/>
        <v>2.27619047619048</v>
      </c>
      <c r="AA22" s="106">
        <f t="shared" si="19"/>
        <v>1.50628564604058</v>
      </c>
      <c r="AB22" s="106">
        <v>0</v>
      </c>
      <c r="AC22" s="106">
        <f t="shared" si="20"/>
        <v>0.0226889644746788</v>
      </c>
      <c r="AD22" s="107">
        <f t="shared" si="21"/>
        <v>0.0226889644746788</v>
      </c>
      <c r="AE22" s="105">
        <f t="shared" si="22"/>
        <v>0.375</v>
      </c>
      <c r="AF22" s="106">
        <f t="shared" si="23"/>
        <v>1.50628564604058</v>
      </c>
      <c r="AG22" s="106">
        <f t="shared" si="10"/>
        <v>0.0192856198034769</v>
      </c>
      <c r="AH22" s="106">
        <f t="shared" si="11"/>
        <v>0.243419402924632</v>
      </c>
      <c r="AI22" s="107">
        <f t="shared" si="24"/>
        <v>0.262705022728109</v>
      </c>
      <c r="AJ22" s="105">
        <f t="shared" si="25"/>
        <v>0.3</v>
      </c>
      <c r="AK22" s="106">
        <f t="shared" si="26"/>
        <v>0.833939311042712</v>
      </c>
      <c r="AL22" s="106">
        <f t="shared" si="27"/>
        <v>0.0975</v>
      </c>
      <c r="AM22" s="106">
        <f t="shared" si="14"/>
        <v>0</v>
      </c>
      <c r="AN22" s="107">
        <f t="shared" si="28"/>
        <v>0.0975</v>
      </c>
      <c r="AO22" s="105">
        <f t="shared" si="15"/>
        <v>0.0226889644746788</v>
      </c>
      <c r="AP22" s="106">
        <f t="shared" si="16"/>
        <v>0.0756</v>
      </c>
      <c r="AQ22" s="107">
        <f t="shared" si="29"/>
        <v>0.0132</v>
      </c>
      <c r="AR22" s="105">
        <f t="shared" si="30"/>
        <v>0.471693987202788</v>
      </c>
      <c r="AS22" s="106">
        <f t="shared" si="31"/>
        <v>6</v>
      </c>
      <c r="AT22" s="107">
        <f t="shared" si="32"/>
        <v>92.7114293701846</v>
      </c>
    </row>
    <row r="23" spans="17:46">
      <c r="Q23">
        <v>16</v>
      </c>
      <c r="R23" s="105">
        <f t="shared" si="0"/>
        <v>20</v>
      </c>
      <c r="S23" s="106">
        <f t="shared" si="1"/>
        <v>0.32</v>
      </c>
      <c r="T23" s="106">
        <f t="shared" si="2"/>
        <v>4</v>
      </c>
      <c r="U23" s="107">
        <f t="shared" si="3"/>
        <v>1.6</v>
      </c>
      <c r="V23" s="105">
        <f t="shared" si="4"/>
        <v>2</v>
      </c>
      <c r="W23" s="106">
        <f t="shared" si="5"/>
        <v>0.833333333333333</v>
      </c>
      <c r="X23" s="107">
        <f t="shared" si="6"/>
        <v>0.166666666666667</v>
      </c>
      <c r="Y23" s="105">
        <f t="shared" si="18"/>
        <v>0.476190476190476</v>
      </c>
      <c r="Z23" s="106">
        <f t="shared" si="33"/>
        <v>2.39619047619048</v>
      </c>
      <c r="AA23" s="106">
        <f t="shared" si="19"/>
        <v>1.60589428278074</v>
      </c>
      <c r="AB23" s="106">
        <v>0</v>
      </c>
      <c r="AC23" s="106">
        <f t="shared" si="20"/>
        <v>0.0257889644746788</v>
      </c>
      <c r="AD23" s="107">
        <f t="shared" si="21"/>
        <v>0.0257889644746788</v>
      </c>
      <c r="AE23" s="105">
        <f t="shared" si="22"/>
        <v>0.426666666666667</v>
      </c>
      <c r="AF23" s="106">
        <f t="shared" si="23"/>
        <v>1.60589428278074</v>
      </c>
      <c r="AG23" s="106">
        <f t="shared" si="10"/>
        <v>0.021920619803477</v>
      </c>
      <c r="AH23" s="106">
        <f t="shared" si="11"/>
        <v>0.259647363119608</v>
      </c>
      <c r="AI23" s="107">
        <f t="shared" si="24"/>
        <v>0.281567982923085</v>
      </c>
      <c r="AJ23" s="105">
        <f t="shared" si="25"/>
        <v>0.32</v>
      </c>
      <c r="AK23" s="106">
        <f t="shared" si="26"/>
        <v>0.882824209016836</v>
      </c>
      <c r="AL23" s="106">
        <f t="shared" si="27"/>
        <v>0.104</v>
      </c>
      <c r="AM23" s="106">
        <f t="shared" si="14"/>
        <v>0</v>
      </c>
      <c r="AN23" s="107">
        <f t="shared" si="28"/>
        <v>0.104</v>
      </c>
      <c r="AO23" s="105">
        <f t="shared" si="15"/>
        <v>0.0257889644746788</v>
      </c>
      <c r="AP23" s="106">
        <f t="shared" si="16"/>
        <v>0.0756</v>
      </c>
      <c r="AQ23" s="107">
        <f t="shared" si="29"/>
        <v>0.0132</v>
      </c>
      <c r="AR23" s="105">
        <f t="shared" si="30"/>
        <v>0.500156947397763</v>
      </c>
      <c r="AS23" s="106">
        <f t="shared" si="31"/>
        <v>6.4</v>
      </c>
      <c r="AT23" s="107">
        <f t="shared" si="32"/>
        <v>92.7515134625106</v>
      </c>
    </row>
    <row r="24" spans="17:46">
      <c r="Q24">
        <v>17</v>
      </c>
      <c r="R24" s="105">
        <f t="shared" si="0"/>
        <v>20</v>
      </c>
      <c r="S24" s="106">
        <f t="shared" si="1"/>
        <v>0.34</v>
      </c>
      <c r="T24" s="106">
        <f t="shared" si="2"/>
        <v>4</v>
      </c>
      <c r="U24" s="107">
        <f t="shared" si="3"/>
        <v>1.7</v>
      </c>
      <c r="V24" s="105">
        <f t="shared" si="4"/>
        <v>2</v>
      </c>
      <c r="W24" s="106">
        <f t="shared" si="5"/>
        <v>0.833333333333333</v>
      </c>
      <c r="X24" s="107">
        <f t="shared" si="6"/>
        <v>0.166666666666667</v>
      </c>
      <c r="Y24" s="105">
        <f t="shared" si="18"/>
        <v>0.476190476190476</v>
      </c>
      <c r="Z24" s="106">
        <f t="shared" si="33"/>
        <v>2.51619047619048</v>
      </c>
      <c r="AA24" s="106">
        <f t="shared" si="19"/>
        <v>1.70554872327585</v>
      </c>
      <c r="AB24" s="106">
        <v>0</v>
      </c>
      <c r="AC24" s="106">
        <f t="shared" si="20"/>
        <v>0.0290889644746788</v>
      </c>
      <c r="AD24" s="107">
        <f t="shared" si="21"/>
        <v>0.0290889644746788</v>
      </c>
      <c r="AE24" s="105">
        <f t="shared" si="22"/>
        <v>0.481666666666667</v>
      </c>
      <c r="AF24" s="106">
        <f t="shared" si="23"/>
        <v>1.70554872327585</v>
      </c>
      <c r="AG24" s="106">
        <f t="shared" si="10"/>
        <v>0.024725619803477</v>
      </c>
      <c r="AH24" s="106">
        <f t="shared" si="11"/>
        <v>0.275875323314583</v>
      </c>
      <c r="AI24" s="107">
        <f t="shared" si="24"/>
        <v>0.30060094311806</v>
      </c>
      <c r="AJ24" s="105">
        <f t="shared" si="25"/>
        <v>0.34</v>
      </c>
      <c r="AK24" s="106">
        <f t="shared" si="26"/>
        <v>0.931720126191343</v>
      </c>
      <c r="AL24" s="106">
        <f t="shared" si="27"/>
        <v>0.1105</v>
      </c>
      <c r="AM24" s="106">
        <f t="shared" si="14"/>
        <v>0</v>
      </c>
      <c r="AN24" s="107">
        <f t="shared" si="28"/>
        <v>0.1105</v>
      </c>
      <c r="AO24" s="105">
        <f t="shared" si="15"/>
        <v>0.0290889644746788</v>
      </c>
      <c r="AP24" s="106">
        <f t="shared" si="16"/>
        <v>0.0756</v>
      </c>
      <c r="AQ24" s="107">
        <f t="shared" si="29"/>
        <v>0.0132</v>
      </c>
      <c r="AR24" s="105">
        <f t="shared" si="30"/>
        <v>0.528989907592739</v>
      </c>
      <c r="AS24" s="106">
        <f t="shared" si="31"/>
        <v>6.8</v>
      </c>
      <c r="AT24" s="107">
        <f t="shared" si="32"/>
        <v>92.7822262786211</v>
      </c>
    </row>
    <row r="25" spans="17:46">
      <c r="Q25">
        <v>18</v>
      </c>
      <c r="R25" s="105">
        <f t="shared" si="0"/>
        <v>20</v>
      </c>
      <c r="S25" s="106">
        <f t="shared" si="1"/>
        <v>0.36</v>
      </c>
      <c r="T25" s="106">
        <f t="shared" si="2"/>
        <v>4</v>
      </c>
      <c r="U25" s="107">
        <f t="shared" si="3"/>
        <v>1.8</v>
      </c>
      <c r="V25" s="105">
        <f t="shared" si="4"/>
        <v>2</v>
      </c>
      <c r="W25" s="106">
        <f t="shared" si="5"/>
        <v>0.833333333333333</v>
      </c>
      <c r="X25" s="107">
        <f t="shared" si="6"/>
        <v>0.166666666666667</v>
      </c>
      <c r="Y25" s="105">
        <f t="shared" si="18"/>
        <v>0.476190476190476</v>
      </c>
      <c r="Z25" s="106">
        <f t="shared" si="33"/>
        <v>2.63619047619048</v>
      </c>
      <c r="AA25" s="106">
        <f t="shared" si="19"/>
        <v>1.80524138205058</v>
      </c>
      <c r="AB25" s="106">
        <v>0</v>
      </c>
      <c r="AC25" s="106">
        <f t="shared" si="20"/>
        <v>0.0325889644746788</v>
      </c>
      <c r="AD25" s="107">
        <f t="shared" si="21"/>
        <v>0.0325889644746788</v>
      </c>
      <c r="AE25" s="105">
        <f t="shared" si="22"/>
        <v>0.54</v>
      </c>
      <c r="AF25" s="106">
        <f t="shared" si="23"/>
        <v>1.80524138205058</v>
      </c>
      <c r="AG25" s="106">
        <f t="shared" si="10"/>
        <v>0.0277006198034769</v>
      </c>
      <c r="AH25" s="106">
        <f t="shared" si="11"/>
        <v>0.292103283509559</v>
      </c>
      <c r="AI25" s="107">
        <f t="shared" si="24"/>
        <v>0.319803903313035</v>
      </c>
      <c r="AJ25" s="105">
        <f t="shared" si="25"/>
        <v>0.36</v>
      </c>
      <c r="AK25" s="106">
        <f t="shared" si="26"/>
        <v>0.980625414250427</v>
      </c>
      <c r="AL25" s="106">
        <f t="shared" si="27"/>
        <v>0.117</v>
      </c>
      <c r="AM25" s="106">
        <f t="shared" si="14"/>
        <v>0</v>
      </c>
      <c r="AN25" s="107">
        <f t="shared" si="28"/>
        <v>0.117</v>
      </c>
      <c r="AO25" s="105">
        <f t="shared" si="15"/>
        <v>0.0325889644746788</v>
      </c>
      <c r="AP25" s="106">
        <f t="shared" si="16"/>
        <v>0.0756</v>
      </c>
      <c r="AQ25" s="107">
        <f t="shared" si="29"/>
        <v>0.0132</v>
      </c>
      <c r="AR25" s="105">
        <f t="shared" si="30"/>
        <v>0.558192867787714</v>
      </c>
      <c r="AS25" s="106">
        <f t="shared" si="31"/>
        <v>7.2</v>
      </c>
      <c r="AT25" s="107">
        <f t="shared" si="32"/>
        <v>92.8051174120026</v>
      </c>
    </row>
    <row r="26" spans="17:46">
      <c r="Q26">
        <v>19</v>
      </c>
      <c r="R26" s="105">
        <f t="shared" si="0"/>
        <v>20</v>
      </c>
      <c r="S26" s="106">
        <f t="shared" si="1"/>
        <v>0.38</v>
      </c>
      <c r="T26" s="106">
        <f t="shared" si="2"/>
        <v>4</v>
      </c>
      <c r="U26" s="107">
        <f t="shared" si="3"/>
        <v>1.9</v>
      </c>
      <c r="V26" s="105">
        <f t="shared" si="4"/>
        <v>2</v>
      </c>
      <c r="W26" s="106">
        <f t="shared" si="5"/>
        <v>0.833333333333333</v>
      </c>
      <c r="X26" s="107">
        <f t="shared" si="6"/>
        <v>0.166666666666667</v>
      </c>
      <c r="Y26" s="105">
        <f t="shared" si="18"/>
        <v>0.476190476190476</v>
      </c>
      <c r="Z26" s="106">
        <f t="shared" si="33"/>
        <v>2.75619047619048</v>
      </c>
      <c r="AA26" s="106">
        <f t="shared" si="19"/>
        <v>1.90496625887911</v>
      </c>
      <c r="AB26" s="106">
        <v>0</v>
      </c>
      <c r="AC26" s="106">
        <f t="shared" si="20"/>
        <v>0.0362889644746788</v>
      </c>
      <c r="AD26" s="107">
        <f t="shared" si="21"/>
        <v>0.0362889644746788</v>
      </c>
      <c r="AE26" s="105">
        <f t="shared" si="22"/>
        <v>0.601666666666667</v>
      </c>
      <c r="AF26" s="106">
        <f t="shared" si="23"/>
        <v>1.90496625887911</v>
      </c>
      <c r="AG26" s="106">
        <f t="shared" si="10"/>
        <v>0.0308456198034769</v>
      </c>
      <c r="AH26" s="106">
        <f t="shared" si="11"/>
        <v>0.308331243704534</v>
      </c>
      <c r="AI26" s="107">
        <f t="shared" si="24"/>
        <v>0.339176863508011</v>
      </c>
      <c r="AJ26" s="105">
        <f t="shared" si="25"/>
        <v>0.38</v>
      </c>
      <c r="AK26" s="106">
        <f t="shared" si="26"/>
        <v>1.02953873778388</v>
      </c>
      <c r="AL26" s="106">
        <f t="shared" si="27"/>
        <v>0.1235</v>
      </c>
      <c r="AM26" s="106">
        <f t="shared" si="14"/>
        <v>0</v>
      </c>
      <c r="AN26" s="107">
        <f t="shared" si="28"/>
        <v>0.1235</v>
      </c>
      <c r="AO26" s="105">
        <f t="shared" si="15"/>
        <v>0.0362889644746788</v>
      </c>
      <c r="AP26" s="106">
        <f t="shared" si="16"/>
        <v>0.0756</v>
      </c>
      <c r="AQ26" s="107">
        <f t="shared" si="29"/>
        <v>0.0132</v>
      </c>
      <c r="AR26" s="105">
        <f t="shared" si="30"/>
        <v>0.58776582798269</v>
      </c>
      <c r="AS26" s="106">
        <f t="shared" si="31"/>
        <v>7.6</v>
      </c>
      <c r="AT26" s="107">
        <f t="shared" si="32"/>
        <v>92.8214137979627</v>
      </c>
    </row>
    <row r="27" spans="17:46">
      <c r="Q27">
        <v>20</v>
      </c>
      <c r="R27" s="105">
        <f t="shared" si="0"/>
        <v>20</v>
      </c>
      <c r="S27" s="106">
        <f t="shared" si="1"/>
        <v>0.4</v>
      </c>
      <c r="T27" s="106">
        <f t="shared" si="2"/>
        <v>4</v>
      </c>
      <c r="U27" s="107">
        <f t="shared" si="3"/>
        <v>2</v>
      </c>
      <c r="V27" s="105">
        <f t="shared" si="4"/>
        <v>2</v>
      </c>
      <c r="W27" s="106">
        <f t="shared" si="5"/>
        <v>0.833333333333333</v>
      </c>
      <c r="X27" s="107">
        <f t="shared" si="6"/>
        <v>0.166666666666667</v>
      </c>
      <c r="Y27" s="105">
        <f t="shared" si="18"/>
        <v>0.476190476190476</v>
      </c>
      <c r="Z27" s="106">
        <f t="shared" si="33"/>
        <v>2.87619047619048</v>
      </c>
      <c r="AA27" s="106">
        <f t="shared" si="19"/>
        <v>2.00471854569859</v>
      </c>
      <c r="AB27" s="106">
        <v>0</v>
      </c>
      <c r="AC27" s="106">
        <f t="shared" si="20"/>
        <v>0.0401889644746788</v>
      </c>
      <c r="AD27" s="107">
        <f t="shared" si="21"/>
        <v>0.0401889644746788</v>
      </c>
      <c r="AE27" s="105">
        <f t="shared" si="22"/>
        <v>0.666666666666667</v>
      </c>
      <c r="AF27" s="106">
        <f t="shared" si="23"/>
        <v>2.00471854569859</v>
      </c>
      <c r="AG27" s="106">
        <f t="shared" si="10"/>
        <v>0.0341606198034769</v>
      </c>
      <c r="AH27" s="106">
        <f t="shared" si="11"/>
        <v>0.32455920389951</v>
      </c>
      <c r="AI27" s="107">
        <f t="shared" si="24"/>
        <v>0.358719823702986</v>
      </c>
      <c r="AJ27" s="105">
        <f t="shared" si="25"/>
        <v>0.4</v>
      </c>
      <c r="AK27" s="106">
        <f t="shared" si="26"/>
        <v>1.07845900344957</v>
      </c>
      <c r="AL27" s="106">
        <f t="shared" si="27"/>
        <v>0.13</v>
      </c>
      <c r="AM27" s="106">
        <f t="shared" si="14"/>
        <v>0</v>
      </c>
      <c r="AN27" s="107">
        <f t="shared" si="28"/>
        <v>0.13</v>
      </c>
      <c r="AO27" s="105">
        <f t="shared" si="15"/>
        <v>0.0401889644746788</v>
      </c>
      <c r="AP27" s="106">
        <f t="shared" si="16"/>
        <v>0.0756</v>
      </c>
      <c r="AQ27" s="107">
        <f t="shared" si="29"/>
        <v>0.0132</v>
      </c>
      <c r="AR27" s="105">
        <f t="shared" si="30"/>
        <v>0.617708788177665</v>
      </c>
      <c r="AS27" s="106">
        <f t="shared" si="31"/>
        <v>8</v>
      </c>
      <c r="AT27" s="107">
        <f t="shared" si="32"/>
        <v>92.8320995364211</v>
      </c>
    </row>
    <row r="28" spans="17:46">
      <c r="Q28">
        <v>21</v>
      </c>
      <c r="R28" s="105">
        <f t="shared" si="0"/>
        <v>20</v>
      </c>
      <c r="S28" s="106">
        <f t="shared" si="1"/>
        <v>0.42</v>
      </c>
      <c r="T28" s="106">
        <f t="shared" si="2"/>
        <v>4</v>
      </c>
      <c r="U28" s="107">
        <f t="shared" si="3"/>
        <v>2.1</v>
      </c>
      <c r="V28" s="105">
        <f t="shared" si="4"/>
        <v>2</v>
      </c>
      <c r="W28" s="106">
        <f t="shared" si="5"/>
        <v>0.833333333333333</v>
      </c>
      <c r="X28" s="107">
        <f t="shared" si="6"/>
        <v>0.166666666666667</v>
      </c>
      <c r="Y28" s="105">
        <f t="shared" si="18"/>
        <v>0.476190476190476</v>
      </c>
      <c r="Z28" s="106">
        <f t="shared" si="33"/>
        <v>2.99619047619048</v>
      </c>
      <c r="AA28" s="106">
        <f t="shared" si="19"/>
        <v>2.10449434484103</v>
      </c>
      <c r="AB28" s="106">
        <v>0</v>
      </c>
      <c r="AC28" s="106">
        <f t="shared" si="20"/>
        <v>0.0442889644746788</v>
      </c>
      <c r="AD28" s="107">
        <f t="shared" si="21"/>
        <v>0.0442889644746788</v>
      </c>
      <c r="AE28" s="105">
        <f t="shared" si="22"/>
        <v>0.735</v>
      </c>
      <c r="AF28" s="106">
        <f t="shared" si="23"/>
        <v>2.10449434484103</v>
      </c>
      <c r="AG28" s="106">
        <f t="shared" si="10"/>
        <v>0.0376456198034769</v>
      </c>
      <c r="AH28" s="106">
        <f t="shared" si="11"/>
        <v>0.340787164094485</v>
      </c>
      <c r="AI28" s="107">
        <f t="shared" si="24"/>
        <v>0.378432783897962</v>
      </c>
      <c r="AJ28" s="105">
        <f t="shared" si="25"/>
        <v>0.42</v>
      </c>
      <c r="AK28" s="106">
        <f t="shared" si="26"/>
        <v>1.12738530753476</v>
      </c>
      <c r="AL28" s="106">
        <f t="shared" si="27"/>
        <v>0.1365</v>
      </c>
      <c r="AM28" s="106">
        <f t="shared" si="14"/>
        <v>0</v>
      </c>
      <c r="AN28" s="107">
        <f t="shared" si="28"/>
        <v>0.1365</v>
      </c>
      <c r="AO28" s="105">
        <f t="shared" si="15"/>
        <v>0.0442889644746788</v>
      </c>
      <c r="AP28" s="106">
        <f t="shared" si="16"/>
        <v>0.0756</v>
      </c>
      <c r="AQ28" s="107">
        <f t="shared" si="29"/>
        <v>0.0132</v>
      </c>
      <c r="AR28" s="105">
        <f t="shared" si="30"/>
        <v>0.648021748372641</v>
      </c>
      <c r="AS28" s="106">
        <f t="shared" si="31"/>
        <v>8.4</v>
      </c>
      <c r="AT28" s="107">
        <f t="shared" si="32"/>
        <v>92.8379731349652</v>
      </c>
    </row>
    <row r="29" spans="17:46">
      <c r="Q29">
        <v>22</v>
      </c>
      <c r="R29" s="105">
        <f t="shared" si="0"/>
        <v>20</v>
      </c>
      <c r="S29" s="106">
        <f t="shared" si="1"/>
        <v>0.44</v>
      </c>
      <c r="T29" s="106">
        <f t="shared" si="2"/>
        <v>4</v>
      </c>
      <c r="U29" s="107">
        <f t="shared" si="3"/>
        <v>2.2</v>
      </c>
      <c r="V29" s="105">
        <f t="shared" si="4"/>
        <v>2</v>
      </c>
      <c r="W29" s="106">
        <f t="shared" si="5"/>
        <v>0.833333333333333</v>
      </c>
      <c r="X29" s="107">
        <f t="shared" si="6"/>
        <v>0.166666666666667</v>
      </c>
      <c r="Y29" s="105">
        <f t="shared" si="18"/>
        <v>0.476190476190476</v>
      </c>
      <c r="Z29" s="106">
        <f t="shared" si="33"/>
        <v>3.11619047619048</v>
      </c>
      <c r="AA29" s="106">
        <f t="shared" si="19"/>
        <v>2.20429046349792</v>
      </c>
      <c r="AB29" s="106">
        <v>0</v>
      </c>
      <c r="AC29" s="106">
        <f t="shared" si="20"/>
        <v>0.0485889644746788</v>
      </c>
      <c r="AD29" s="107">
        <f t="shared" si="21"/>
        <v>0.0485889644746788</v>
      </c>
      <c r="AE29" s="105">
        <f t="shared" si="22"/>
        <v>0.806666666666667</v>
      </c>
      <c r="AF29" s="106">
        <f t="shared" si="23"/>
        <v>2.20429046349792</v>
      </c>
      <c r="AG29" s="106">
        <f t="shared" si="10"/>
        <v>0.041300619803477</v>
      </c>
      <c r="AH29" s="106">
        <f t="shared" si="11"/>
        <v>0.357015124289461</v>
      </c>
      <c r="AI29" s="107">
        <f t="shared" si="24"/>
        <v>0.398315744092938</v>
      </c>
      <c r="AJ29" s="105">
        <f t="shared" si="25"/>
        <v>0.44</v>
      </c>
      <c r="AK29" s="106">
        <f t="shared" si="26"/>
        <v>1.17631689657552</v>
      </c>
      <c r="AL29" s="106">
        <f t="shared" si="27"/>
        <v>0.143</v>
      </c>
      <c r="AM29" s="106">
        <f t="shared" si="14"/>
        <v>0</v>
      </c>
      <c r="AN29" s="107">
        <f t="shared" si="28"/>
        <v>0.143</v>
      </c>
      <c r="AO29" s="105">
        <f t="shared" si="15"/>
        <v>0.0485889644746788</v>
      </c>
      <c r="AP29" s="106">
        <f t="shared" si="16"/>
        <v>0.0756</v>
      </c>
      <c r="AQ29" s="107">
        <f t="shared" si="29"/>
        <v>0.0132</v>
      </c>
      <c r="AR29" s="105">
        <f t="shared" si="30"/>
        <v>0.678704708567616</v>
      </c>
      <c r="AS29" s="106">
        <f t="shared" si="31"/>
        <v>8.8</v>
      </c>
      <c r="AT29" s="107">
        <f t="shared" si="32"/>
        <v>92.8396892884093</v>
      </c>
    </row>
    <row r="30" spans="17:46">
      <c r="Q30">
        <v>23</v>
      </c>
      <c r="R30" s="105">
        <f t="shared" si="0"/>
        <v>20</v>
      </c>
      <c r="S30" s="106">
        <f t="shared" si="1"/>
        <v>0.46</v>
      </c>
      <c r="T30" s="106">
        <f t="shared" si="2"/>
        <v>4</v>
      </c>
      <c r="U30" s="107">
        <f t="shared" si="3"/>
        <v>2.3</v>
      </c>
      <c r="V30" s="105">
        <f t="shared" si="4"/>
        <v>2</v>
      </c>
      <c r="W30" s="106">
        <f t="shared" si="5"/>
        <v>0.833333333333333</v>
      </c>
      <c r="X30" s="107">
        <f t="shared" si="6"/>
        <v>0.166666666666667</v>
      </c>
      <c r="Y30" s="105">
        <f t="shared" si="18"/>
        <v>0.476190476190476</v>
      </c>
      <c r="Z30" s="106">
        <f t="shared" si="33"/>
        <v>3.23619047619048</v>
      </c>
      <c r="AA30" s="106">
        <f t="shared" si="19"/>
        <v>2.30410426141437</v>
      </c>
      <c r="AB30" s="106">
        <v>0</v>
      </c>
      <c r="AC30" s="106">
        <f t="shared" si="20"/>
        <v>0.0530889644746788</v>
      </c>
      <c r="AD30" s="107">
        <f t="shared" si="21"/>
        <v>0.0530889644746788</v>
      </c>
      <c r="AE30" s="105">
        <f t="shared" si="22"/>
        <v>0.881666666666667</v>
      </c>
      <c r="AF30" s="106">
        <f t="shared" si="23"/>
        <v>2.30410426141437</v>
      </c>
      <c r="AG30" s="106">
        <f t="shared" si="10"/>
        <v>0.045125619803477</v>
      </c>
      <c r="AH30" s="106">
        <f t="shared" si="11"/>
        <v>0.373243084484436</v>
      </c>
      <c r="AI30" s="107">
        <f t="shared" si="24"/>
        <v>0.418368704287913</v>
      </c>
      <c r="AJ30" s="105">
        <f t="shared" si="25"/>
        <v>0.46</v>
      </c>
      <c r="AK30" s="106">
        <f t="shared" si="26"/>
        <v>1.2252531373936</v>
      </c>
      <c r="AL30" s="106">
        <f t="shared" si="27"/>
        <v>0.1495</v>
      </c>
      <c r="AM30" s="106">
        <f t="shared" si="14"/>
        <v>0</v>
      </c>
      <c r="AN30" s="107">
        <f t="shared" si="28"/>
        <v>0.1495</v>
      </c>
      <c r="AO30" s="105">
        <f t="shared" si="15"/>
        <v>0.0530889644746788</v>
      </c>
      <c r="AP30" s="106">
        <f t="shared" si="16"/>
        <v>0.0756</v>
      </c>
      <c r="AQ30" s="107">
        <f t="shared" si="29"/>
        <v>0.0132</v>
      </c>
      <c r="AR30" s="105">
        <f t="shared" si="30"/>
        <v>0.709757668762592</v>
      </c>
      <c r="AS30" s="106">
        <f t="shared" si="31"/>
        <v>9.2</v>
      </c>
      <c r="AT30" s="107">
        <f t="shared" si="32"/>
        <v>92.8377898583748</v>
      </c>
    </row>
    <row r="31" spans="17:46">
      <c r="Q31">
        <v>24</v>
      </c>
      <c r="R31" s="105">
        <f t="shared" si="0"/>
        <v>20</v>
      </c>
      <c r="S31" s="106">
        <f t="shared" si="1"/>
        <v>0.48</v>
      </c>
      <c r="T31" s="106">
        <f t="shared" si="2"/>
        <v>4</v>
      </c>
      <c r="U31" s="107">
        <f t="shared" si="3"/>
        <v>2.4</v>
      </c>
      <c r="V31" s="105">
        <f t="shared" si="4"/>
        <v>2</v>
      </c>
      <c r="W31" s="106">
        <f t="shared" si="5"/>
        <v>0.833333333333333</v>
      </c>
      <c r="X31" s="107">
        <f t="shared" si="6"/>
        <v>0.166666666666667</v>
      </c>
      <c r="Y31" s="105">
        <f t="shared" si="18"/>
        <v>0.476190476190476</v>
      </c>
      <c r="Z31" s="106">
        <f t="shared" si="33"/>
        <v>3.35619047619048</v>
      </c>
      <c r="AA31" s="106">
        <f t="shared" si="19"/>
        <v>2.40393353640817</v>
      </c>
      <c r="AB31" s="106">
        <v>0</v>
      </c>
      <c r="AC31" s="106">
        <f t="shared" si="20"/>
        <v>0.0577889644746788</v>
      </c>
      <c r="AD31" s="107">
        <f t="shared" si="21"/>
        <v>0.0577889644746788</v>
      </c>
      <c r="AE31" s="105">
        <f t="shared" si="22"/>
        <v>0.96</v>
      </c>
      <c r="AF31" s="106">
        <f t="shared" si="23"/>
        <v>2.40393353640817</v>
      </c>
      <c r="AG31" s="106">
        <f t="shared" si="10"/>
        <v>0.049120619803477</v>
      </c>
      <c r="AH31" s="106">
        <f t="shared" si="11"/>
        <v>0.389471044679412</v>
      </c>
      <c r="AI31" s="107">
        <f t="shared" si="24"/>
        <v>0.438591664482888</v>
      </c>
      <c r="AJ31" s="105">
        <f t="shared" si="25"/>
        <v>0.48</v>
      </c>
      <c r="AK31" s="106">
        <f t="shared" si="26"/>
        <v>1.27419349402541</v>
      </c>
      <c r="AL31" s="106">
        <f t="shared" si="27"/>
        <v>0.156</v>
      </c>
      <c r="AM31" s="106">
        <f t="shared" si="14"/>
        <v>0</v>
      </c>
      <c r="AN31" s="107">
        <f t="shared" si="28"/>
        <v>0.156</v>
      </c>
      <c r="AO31" s="105">
        <f t="shared" si="15"/>
        <v>0.0577889644746788</v>
      </c>
      <c r="AP31" s="106">
        <f t="shared" si="16"/>
        <v>0.0756</v>
      </c>
      <c r="AQ31" s="107">
        <f t="shared" si="29"/>
        <v>0.0132</v>
      </c>
      <c r="AR31" s="105">
        <f t="shared" si="30"/>
        <v>0.741180628957567</v>
      </c>
      <c r="AS31" s="106">
        <f t="shared" si="31"/>
        <v>9.6</v>
      </c>
      <c r="AT31" s="107">
        <f t="shared" si="32"/>
        <v>92.8327271754436</v>
      </c>
    </row>
    <row r="32" spans="17:46">
      <c r="Q32">
        <v>25</v>
      </c>
      <c r="R32" s="105">
        <f t="shared" si="0"/>
        <v>20</v>
      </c>
      <c r="S32" s="106">
        <f t="shared" si="1"/>
        <v>0.5</v>
      </c>
      <c r="T32" s="106">
        <f t="shared" si="2"/>
        <v>4</v>
      </c>
      <c r="U32" s="107">
        <f t="shared" si="3"/>
        <v>2.5</v>
      </c>
      <c r="V32" s="105">
        <f t="shared" si="4"/>
        <v>2</v>
      </c>
      <c r="W32" s="106">
        <f t="shared" si="5"/>
        <v>0.833333333333333</v>
      </c>
      <c r="X32" s="107">
        <f t="shared" si="6"/>
        <v>0.166666666666667</v>
      </c>
      <c r="Y32" s="105">
        <f t="shared" si="18"/>
        <v>0.476190476190476</v>
      </c>
      <c r="Z32" s="106">
        <f t="shared" si="33"/>
        <v>3.47619047619048</v>
      </c>
      <c r="AA32" s="106">
        <f t="shared" si="19"/>
        <v>2.50377643719799</v>
      </c>
      <c r="AB32" s="106">
        <v>0</v>
      </c>
      <c r="AC32" s="106">
        <f t="shared" si="20"/>
        <v>0.0626889644746788</v>
      </c>
      <c r="AD32" s="107">
        <f t="shared" si="21"/>
        <v>0.0626889644746788</v>
      </c>
      <c r="AE32" s="105">
        <f t="shared" si="22"/>
        <v>1.04166666666667</v>
      </c>
      <c r="AF32" s="106">
        <f t="shared" si="23"/>
        <v>2.50377643719799</v>
      </c>
      <c r="AG32" s="106">
        <f t="shared" si="10"/>
        <v>0.053285619803477</v>
      </c>
      <c r="AH32" s="106">
        <f t="shared" si="11"/>
        <v>0.405699004874387</v>
      </c>
      <c r="AI32" s="107">
        <f t="shared" si="24"/>
        <v>0.458984624677864</v>
      </c>
      <c r="AJ32" s="105">
        <f t="shared" si="25"/>
        <v>0.5</v>
      </c>
      <c r="AK32" s="106">
        <f t="shared" si="26"/>
        <v>1.32313750976249</v>
      </c>
      <c r="AL32" s="106">
        <f t="shared" si="27"/>
        <v>0.1625</v>
      </c>
      <c r="AM32" s="106">
        <f t="shared" si="14"/>
        <v>0</v>
      </c>
      <c r="AN32" s="107">
        <f t="shared" si="28"/>
        <v>0.1625</v>
      </c>
      <c r="AO32" s="105">
        <f t="shared" si="15"/>
        <v>0.0626889644746788</v>
      </c>
      <c r="AP32" s="106">
        <f t="shared" si="16"/>
        <v>0.0756</v>
      </c>
      <c r="AQ32" s="107">
        <f t="shared" si="29"/>
        <v>0.0132</v>
      </c>
      <c r="AR32" s="105">
        <f t="shared" si="30"/>
        <v>0.772973589152543</v>
      </c>
      <c r="AS32" s="106">
        <f t="shared" si="31"/>
        <v>10</v>
      </c>
      <c r="AT32" s="107">
        <f t="shared" si="32"/>
        <v>92.8248817955809</v>
      </c>
    </row>
    <row r="33" spans="17:46">
      <c r="Q33">
        <v>26</v>
      </c>
      <c r="R33" s="105">
        <f t="shared" si="0"/>
        <v>20</v>
      </c>
      <c r="S33" s="106">
        <f t="shared" si="1"/>
        <v>0.52</v>
      </c>
      <c r="T33" s="106">
        <f t="shared" si="2"/>
        <v>4</v>
      </c>
      <c r="U33" s="107">
        <f t="shared" si="3"/>
        <v>2.6</v>
      </c>
      <c r="V33" s="105">
        <f t="shared" si="4"/>
        <v>2</v>
      </c>
      <c r="W33" s="106">
        <f t="shared" si="5"/>
        <v>0.833333333333333</v>
      </c>
      <c r="X33" s="107">
        <f t="shared" si="6"/>
        <v>0.166666666666667</v>
      </c>
      <c r="Y33" s="105">
        <f t="shared" si="18"/>
        <v>0.476190476190476</v>
      </c>
      <c r="Z33" s="106">
        <f t="shared" si="33"/>
        <v>3.59619047619048</v>
      </c>
      <c r="AA33" s="106">
        <f t="shared" si="19"/>
        <v>2.60363139623639</v>
      </c>
      <c r="AB33" s="106">
        <v>0</v>
      </c>
      <c r="AC33" s="106">
        <f t="shared" si="20"/>
        <v>0.0677889644746788</v>
      </c>
      <c r="AD33" s="107">
        <f t="shared" si="21"/>
        <v>0.0677889644746788</v>
      </c>
      <c r="AE33" s="105">
        <f t="shared" si="22"/>
        <v>1.12666666666667</v>
      </c>
      <c r="AF33" s="106">
        <f t="shared" si="23"/>
        <v>2.60363139623639</v>
      </c>
      <c r="AG33" s="106">
        <f t="shared" si="10"/>
        <v>0.057620619803477</v>
      </c>
      <c r="AH33" s="106">
        <f t="shared" si="11"/>
        <v>0.421926965069363</v>
      </c>
      <c r="AI33" s="107">
        <f t="shared" si="24"/>
        <v>0.479547584872839</v>
      </c>
      <c r="AJ33" s="105">
        <f t="shared" si="25"/>
        <v>0.52</v>
      </c>
      <c r="AK33" s="106">
        <f t="shared" si="26"/>
        <v>1.37208479303004</v>
      </c>
      <c r="AL33" s="106">
        <f t="shared" si="27"/>
        <v>0.169</v>
      </c>
      <c r="AM33" s="106">
        <f t="shared" si="14"/>
        <v>0</v>
      </c>
      <c r="AN33" s="107">
        <f t="shared" si="28"/>
        <v>0.169</v>
      </c>
      <c r="AO33" s="105">
        <f t="shared" si="15"/>
        <v>0.0677889644746788</v>
      </c>
      <c r="AP33" s="106">
        <f t="shared" si="16"/>
        <v>0.0756</v>
      </c>
      <c r="AQ33" s="107">
        <f t="shared" si="29"/>
        <v>0.0132</v>
      </c>
      <c r="AR33" s="105">
        <f t="shared" si="30"/>
        <v>0.805136549347518</v>
      </c>
      <c r="AS33" s="106">
        <f t="shared" si="31"/>
        <v>10.4</v>
      </c>
      <c r="AT33" s="107">
        <f t="shared" si="32"/>
        <v>92.8145761918948</v>
      </c>
    </row>
    <row r="34" spans="17:46">
      <c r="Q34">
        <v>27</v>
      </c>
      <c r="R34" s="105">
        <f t="shared" si="0"/>
        <v>20</v>
      </c>
      <c r="S34" s="106">
        <f t="shared" si="1"/>
        <v>0.54</v>
      </c>
      <c r="T34" s="106">
        <f t="shared" si="2"/>
        <v>4</v>
      </c>
      <c r="U34" s="107">
        <f t="shared" si="3"/>
        <v>2.7</v>
      </c>
      <c r="V34" s="105">
        <f t="shared" si="4"/>
        <v>2</v>
      </c>
      <c r="W34" s="106">
        <f t="shared" si="5"/>
        <v>0.833333333333333</v>
      </c>
      <c r="X34" s="107">
        <f t="shared" si="6"/>
        <v>0.166666666666667</v>
      </c>
      <c r="Y34" s="105">
        <f t="shared" si="18"/>
        <v>0.476190476190476</v>
      </c>
      <c r="Z34" s="106">
        <f t="shared" si="33"/>
        <v>3.71619047619048</v>
      </c>
      <c r="AA34" s="106">
        <f t="shared" si="19"/>
        <v>2.70349707739215</v>
      </c>
      <c r="AB34" s="106">
        <v>0</v>
      </c>
      <c r="AC34" s="106">
        <f t="shared" si="20"/>
        <v>0.0730889644746788</v>
      </c>
      <c r="AD34" s="107">
        <f t="shared" si="21"/>
        <v>0.0730889644746788</v>
      </c>
      <c r="AE34" s="105">
        <f t="shared" si="22"/>
        <v>1.215</v>
      </c>
      <c r="AF34" s="106">
        <f t="shared" si="23"/>
        <v>2.70349707739215</v>
      </c>
      <c r="AG34" s="106">
        <f t="shared" si="10"/>
        <v>0.062125619803477</v>
      </c>
      <c r="AH34" s="106">
        <f t="shared" si="11"/>
        <v>0.438154925264338</v>
      </c>
      <c r="AI34" s="107">
        <f t="shared" si="24"/>
        <v>0.500280545067815</v>
      </c>
      <c r="AJ34" s="105">
        <f t="shared" si="25"/>
        <v>0.54</v>
      </c>
      <c r="AK34" s="106">
        <f t="shared" si="26"/>
        <v>1.42103500617969</v>
      </c>
      <c r="AL34" s="106">
        <f t="shared" si="27"/>
        <v>0.1755</v>
      </c>
      <c r="AM34" s="106">
        <f t="shared" si="14"/>
        <v>0</v>
      </c>
      <c r="AN34" s="107">
        <f t="shared" si="28"/>
        <v>0.1755</v>
      </c>
      <c r="AO34" s="105">
        <f t="shared" si="15"/>
        <v>0.0730889644746788</v>
      </c>
      <c r="AP34" s="106">
        <f t="shared" si="16"/>
        <v>0.0756</v>
      </c>
      <c r="AQ34" s="107">
        <f t="shared" si="29"/>
        <v>0.0132</v>
      </c>
      <c r="AR34" s="105">
        <f t="shared" si="30"/>
        <v>0.837669509542494</v>
      </c>
      <c r="AS34" s="106">
        <f t="shared" si="31"/>
        <v>10.8</v>
      </c>
      <c r="AT34" s="107">
        <f t="shared" si="32"/>
        <v>92.8020854273647</v>
      </c>
    </row>
    <row r="35" spans="17:46">
      <c r="Q35">
        <v>28</v>
      </c>
      <c r="R35" s="105">
        <f t="shared" si="0"/>
        <v>20</v>
      </c>
      <c r="S35" s="106">
        <f t="shared" si="1"/>
        <v>0.56</v>
      </c>
      <c r="T35" s="106">
        <f t="shared" si="2"/>
        <v>4</v>
      </c>
      <c r="U35" s="107">
        <f t="shared" si="3"/>
        <v>2.8</v>
      </c>
      <c r="V35" s="105">
        <f t="shared" si="4"/>
        <v>2</v>
      </c>
      <c r="W35" s="106">
        <f t="shared" si="5"/>
        <v>0.833333333333333</v>
      </c>
      <c r="X35" s="107">
        <f t="shared" si="6"/>
        <v>0.166666666666667</v>
      </c>
      <c r="Y35" s="105">
        <f t="shared" si="18"/>
        <v>0.476190476190476</v>
      </c>
      <c r="Z35" s="106">
        <f t="shared" si="33"/>
        <v>3.83619047619048</v>
      </c>
      <c r="AA35" s="106">
        <f t="shared" si="19"/>
        <v>2.80337233479035</v>
      </c>
      <c r="AB35" s="106">
        <v>0</v>
      </c>
      <c r="AC35" s="106">
        <f t="shared" si="20"/>
        <v>0.0785889644746788</v>
      </c>
      <c r="AD35" s="107">
        <f t="shared" si="21"/>
        <v>0.0785889644746788</v>
      </c>
      <c r="AE35" s="105">
        <f t="shared" si="22"/>
        <v>1.30666666666667</v>
      </c>
      <c r="AF35" s="106">
        <f t="shared" si="23"/>
        <v>2.80337233479035</v>
      </c>
      <c r="AG35" s="106">
        <f t="shared" si="10"/>
        <v>0.066800619803477</v>
      </c>
      <c r="AH35" s="106">
        <f t="shared" si="11"/>
        <v>0.454382885459313</v>
      </c>
      <c r="AI35" s="107">
        <f t="shared" si="24"/>
        <v>0.52118350526279</v>
      </c>
      <c r="AJ35" s="105">
        <f t="shared" si="25"/>
        <v>0.56</v>
      </c>
      <c r="AK35" s="106">
        <f t="shared" si="26"/>
        <v>1.46998785651852</v>
      </c>
      <c r="AL35" s="106">
        <f t="shared" si="27"/>
        <v>0.182</v>
      </c>
      <c r="AM35" s="106">
        <f t="shared" si="14"/>
        <v>0</v>
      </c>
      <c r="AN35" s="107">
        <f t="shared" si="28"/>
        <v>0.182</v>
      </c>
      <c r="AO35" s="105">
        <f t="shared" si="15"/>
        <v>0.0785889644746788</v>
      </c>
      <c r="AP35" s="106">
        <f t="shared" si="16"/>
        <v>0.0756</v>
      </c>
      <c r="AQ35" s="107">
        <f t="shared" si="29"/>
        <v>0.0132</v>
      </c>
      <c r="AR35" s="105">
        <f t="shared" si="30"/>
        <v>0.870572469737469</v>
      </c>
      <c r="AS35" s="106">
        <f t="shared" si="31"/>
        <v>11.2</v>
      </c>
      <c r="AT35" s="107">
        <f t="shared" si="32"/>
        <v>92.7876455576559</v>
      </c>
    </row>
    <row r="36" spans="17:46">
      <c r="Q36">
        <v>29</v>
      </c>
      <c r="R36" s="105">
        <f t="shared" si="0"/>
        <v>20</v>
      </c>
      <c r="S36" s="106">
        <f t="shared" si="1"/>
        <v>0.58</v>
      </c>
      <c r="T36" s="106">
        <f t="shared" si="2"/>
        <v>4</v>
      </c>
      <c r="U36" s="107">
        <f t="shared" si="3"/>
        <v>2.9</v>
      </c>
      <c r="V36" s="105">
        <f t="shared" si="4"/>
        <v>2</v>
      </c>
      <c r="W36" s="106">
        <f t="shared" si="5"/>
        <v>0.833333333333333</v>
      </c>
      <c r="X36" s="107">
        <f t="shared" si="6"/>
        <v>0.166666666666667</v>
      </c>
      <c r="Y36" s="105">
        <f t="shared" si="18"/>
        <v>0.476190476190476</v>
      </c>
      <c r="Z36" s="106">
        <f t="shared" si="33"/>
        <v>3.95619047619048</v>
      </c>
      <c r="AA36" s="106">
        <f t="shared" si="19"/>
        <v>2.90325618013083</v>
      </c>
      <c r="AB36" s="106">
        <v>0</v>
      </c>
      <c r="AC36" s="106">
        <f t="shared" si="20"/>
        <v>0.0842889644746788</v>
      </c>
      <c r="AD36" s="107">
        <f t="shared" si="21"/>
        <v>0.0842889644746788</v>
      </c>
      <c r="AE36" s="105">
        <f t="shared" si="22"/>
        <v>1.40166666666667</v>
      </c>
      <c r="AF36" s="106">
        <f t="shared" si="23"/>
        <v>2.90325618013083</v>
      </c>
      <c r="AG36" s="106">
        <f t="shared" si="10"/>
        <v>0.071645619803477</v>
      </c>
      <c r="AH36" s="106">
        <f t="shared" si="11"/>
        <v>0.470610845654289</v>
      </c>
      <c r="AI36" s="107">
        <f t="shared" si="24"/>
        <v>0.542256465457766</v>
      </c>
      <c r="AJ36" s="105">
        <f t="shared" si="25"/>
        <v>0.58</v>
      </c>
      <c r="AK36" s="106">
        <f t="shared" si="26"/>
        <v>1.51894308907073</v>
      </c>
      <c r="AL36" s="106">
        <f t="shared" si="27"/>
        <v>0.1885</v>
      </c>
      <c r="AM36" s="106">
        <f t="shared" si="14"/>
        <v>0</v>
      </c>
      <c r="AN36" s="107">
        <f t="shared" si="28"/>
        <v>0.1885</v>
      </c>
      <c r="AO36" s="105">
        <f t="shared" si="15"/>
        <v>0.0842889644746788</v>
      </c>
      <c r="AP36" s="106">
        <f t="shared" si="16"/>
        <v>0.0756</v>
      </c>
      <c r="AQ36" s="107">
        <f t="shared" si="29"/>
        <v>0.0132</v>
      </c>
      <c r="AR36" s="105">
        <f t="shared" si="30"/>
        <v>0.903845429932445</v>
      </c>
      <c r="AS36" s="106">
        <f t="shared" si="31"/>
        <v>11.6</v>
      </c>
      <c r="AT36" s="107">
        <f t="shared" si="32"/>
        <v>92.7714603079724</v>
      </c>
    </row>
    <row r="37" spans="17:46">
      <c r="Q37">
        <v>30</v>
      </c>
      <c r="R37" s="105">
        <f t="shared" si="0"/>
        <v>20</v>
      </c>
      <c r="S37" s="106">
        <f t="shared" si="1"/>
        <v>0.6</v>
      </c>
      <c r="T37" s="106">
        <f t="shared" si="2"/>
        <v>4</v>
      </c>
      <c r="U37" s="107">
        <f t="shared" si="3"/>
        <v>3</v>
      </c>
      <c r="V37" s="105">
        <f t="shared" si="4"/>
        <v>2</v>
      </c>
      <c r="W37" s="106">
        <f t="shared" si="5"/>
        <v>0.833333333333333</v>
      </c>
      <c r="X37" s="107">
        <f t="shared" si="6"/>
        <v>0.166666666666667</v>
      </c>
      <c r="Y37" s="105">
        <f t="shared" si="18"/>
        <v>0.476190476190476</v>
      </c>
      <c r="Z37" s="106">
        <f t="shared" si="33"/>
        <v>4.07619047619048</v>
      </c>
      <c r="AA37" s="106">
        <f t="shared" si="19"/>
        <v>3.00314775651613</v>
      </c>
      <c r="AB37" s="106">
        <v>0</v>
      </c>
      <c r="AC37" s="106">
        <f t="shared" si="20"/>
        <v>0.0901889644746788</v>
      </c>
      <c r="AD37" s="107">
        <f t="shared" si="21"/>
        <v>0.0901889644746788</v>
      </c>
      <c r="AE37" s="105">
        <f t="shared" si="22"/>
        <v>1.5</v>
      </c>
      <c r="AF37" s="106">
        <f t="shared" si="23"/>
        <v>3.00314775651613</v>
      </c>
      <c r="AG37" s="106">
        <f t="shared" si="10"/>
        <v>0.076660619803477</v>
      </c>
      <c r="AH37" s="106">
        <f t="shared" si="11"/>
        <v>0.486838805849264</v>
      </c>
      <c r="AI37" s="107">
        <f t="shared" si="24"/>
        <v>0.563499425652741</v>
      </c>
      <c r="AJ37" s="105">
        <f t="shared" si="25"/>
        <v>0.6</v>
      </c>
      <c r="AK37" s="106">
        <f t="shared" si="26"/>
        <v>1.5679004806937</v>
      </c>
      <c r="AL37" s="106">
        <f t="shared" si="27"/>
        <v>0.195</v>
      </c>
      <c r="AM37" s="106">
        <f t="shared" si="14"/>
        <v>0</v>
      </c>
      <c r="AN37" s="107">
        <f t="shared" si="28"/>
        <v>0.195</v>
      </c>
      <c r="AO37" s="105">
        <f t="shared" si="15"/>
        <v>0.0901889644746788</v>
      </c>
      <c r="AP37" s="106">
        <f t="shared" si="16"/>
        <v>0.0756</v>
      </c>
      <c r="AQ37" s="107">
        <f t="shared" si="29"/>
        <v>0.0132</v>
      </c>
      <c r="AR37" s="105">
        <f t="shared" si="30"/>
        <v>0.93748839012742</v>
      </c>
      <c r="AS37" s="106">
        <f t="shared" si="31"/>
        <v>12</v>
      </c>
      <c r="AT37" s="107">
        <f t="shared" si="32"/>
        <v>92.7537064238619</v>
      </c>
    </row>
    <row r="38" spans="17:46">
      <c r="Q38">
        <v>31</v>
      </c>
      <c r="R38" s="105">
        <f t="shared" si="0"/>
        <v>20</v>
      </c>
      <c r="S38" s="106">
        <f t="shared" si="1"/>
        <v>0.62</v>
      </c>
      <c r="T38" s="106">
        <f t="shared" si="2"/>
        <v>4</v>
      </c>
      <c r="U38" s="107">
        <f t="shared" si="3"/>
        <v>3.1</v>
      </c>
      <c r="V38" s="105">
        <f t="shared" si="4"/>
        <v>2</v>
      </c>
      <c r="W38" s="106">
        <f t="shared" si="5"/>
        <v>0.833333333333333</v>
      </c>
      <c r="X38" s="107">
        <f t="shared" si="6"/>
        <v>0.166666666666667</v>
      </c>
      <c r="Y38" s="105">
        <f t="shared" si="18"/>
        <v>0.476190476190476</v>
      </c>
      <c r="Z38" s="106">
        <f t="shared" si="33"/>
        <v>4.19619047619048</v>
      </c>
      <c r="AA38" s="106">
        <f t="shared" si="19"/>
        <v>3.10304631732559</v>
      </c>
      <c r="AB38" s="106">
        <v>0</v>
      </c>
      <c r="AC38" s="106">
        <f t="shared" si="20"/>
        <v>0.0962889644746788</v>
      </c>
      <c r="AD38" s="107">
        <f t="shared" si="21"/>
        <v>0.0962889644746788</v>
      </c>
      <c r="AE38" s="105">
        <f t="shared" si="22"/>
        <v>1.60166666666667</v>
      </c>
      <c r="AF38" s="106">
        <f t="shared" si="23"/>
        <v>3.10304631732559</v>
      </c>
      <c r="AG38" s="106">
        <f t="shared" si="10"/>
        <v>0.081845619803477</v>
      </c>
      <c r="AH38" s="106">
        <f t="shared" si="11"/>
        <v>0.50306676604424</v>
      </c>
      <c r="AI38" s="107">
        <f t="shared" si="24"/>
        <v>0.584912385847717</v>
      </c>
      <c r="AJ38" s="105">
        <f t="shared" si="25"/>
        <v>0.62</v>
      </c>
      <c r="AK38" s="106">
        <f t="shared" si="26"/>
        <v>1.61685983526196</v>
      </c>
      <c r="AL38" s="106">
        <f t="shared" si="27"/>
        <v>0.2015</v>
      </c>
      <c r="AM38" s="106">
        <f t="shared" si="14"/>
        <v>0</v>
      </c>
      <c r="AN38" s="107">
        <f t="shared" si="28"/>
        <v>0.2015</v>
      </c>
      <c r="AO38" s="105">
        <f t="shared" si="15"/>
        <v>0.0962889644746788</v>
      </c>
      <c r="AP38" s="106">
        <f t="shared" si="16"/>
        <v>0.0756</v>
      </c>
      <c r="AQ38" s="107">
        <f t="shared" si="29"/>
        <v>0.0132</v>
      </c>
      <c r="AR38" s="105">
        <f t="shared" si="30"/>
        <v>0.971501350322395</v>
      </c>
      <c r="AS38" s="106">
        <f t="shared" si="31"/>
        <v>12.4</v>
      </c>
      <c r="AT38" s="107">
        <f t="shared" si="32"/>
        <v>92.7345379933797</v>
      </c>
    </row>
    <row r="39" spans="17:46">
      <c r="Q39">
        <v>32</v>
      </c>
      <c r="R39" s="105">
        <f t="shared" si="0"/>
        <v>20</v>
      </c>
      <c r="S39" s="106">
        <f t="shared" ref="S39:S70" si="34">Q39*$O$12</f>
        <v>0.64</v>
      </c>
      <c r="T39" s="106">
        <f t="shared" si="2"/>
        <v>4</v>
      </c>
      <c r="U39" s="107">
        <f t="shared" ref="U39:U70" si="35">(R39*S39)/(T39*EFF_est)</f>
        <v>3.2</v>
      </c>
      <c r="V39" s="105">
        <f t="shared" ref="V39:V70" si="36">IF(S39&lt;((T39^2)*R39)/(2*Fsw*Lm*((T39+R39)^2)),1,2)</f>
        <v>2</v>
      </c>
      <c r="W39" s="106">
        <f t="shared" ref="W39:W70" si="37">CHOOSE(V39,SQRT(2*Lm*R39*S39*Fsw)/T39,R39/(T39+R39))</f>
        <v>0.833333333333333</v>
      </c>
      <c r="X39" s="107">
        <f t="shared" ref="X39:X70" si="38">CHOOSE(V39,(Lm*Z39*Fsw)/(R39),1-W39)</f>
        <v>0.166666666666667</v>
      </c>
      <c r="Y39" s="105">
        <f t="shared" si="18"/>
        <v>0.476190476190476</v>
      </c>
      <c r="Z39" s="106">
        <f t="shared" si="33"/>
        <v>4.31619047619048</v>
      </c>
      <c r="AA39" s="106">
        <f t="shared" si="19"/>
        <v>3.20295120903642</v>
      </c>
      <c r="AB39" s="106">
        <v>0</v>
      </c>
      <c r="AC39" s="106">
        <f t="shared" si="20"/>
        <v>0.102588964474679</v>
      </c>
      <c r="AD39" s="107">
        <f t="shared" si="21"/>
        <v>0.102588964474679</v>
      </c>
      <c r="AE39" s="105">
        <f t="shared" si="22"/>
        <v>1.70666666666667</v>
      </c>
      <c r="AF39" s="106">
        <f t="shared" si="23"/>
        <v>3.20295120903642</v>
      </c>
      <c r="AG39" s="106">
        <f t="shared" ref="AG39:AG70" si="39">(AF39^2)*RDS_on</f>
        <v>0.087200619803477</v>
      </c>
      <c r="AH39" s="106">
        <f t="shared" ref="AH39:AH70" si="40">(((R39+T39)*(U39+S39))/2)*Fsw*(tr_sw+tf_sw)</f>
        <v>0.519294726239215</v>
      </c>
      <c r="AI39" s="107">
        <f t="shared" si="24"/>
        <v>0.606495346042692</v>
      </c>
      <c r="AJ39" s="105">
        <f t="shared" si="25"/>
        <v>0.64</v>
      </c>
      <c r="AK39" s="106">
        <f t="shared" si="26"/>
        <v>1.66582097969955</v>
      </c>
      <c r="AL39" s="106">
        <f t="shared" si="27"/>
        <v>0.208</v>
      </c>
      <c r="AM39" s="106">
        <f t="shared" ref="AM39:AM70" si="41">(R39+T39+Vd_rect)*Qrr*Fsw</f>
        <v>0</v>
      </c>
      <c r="AN39" s="107">
        <f t="shared" si="28"/>
        <v>0.208</v>
      </c>
      <c r="AO39" s="105">
        <f t="shared" ref="AO39:AO70" si="42">(AF39^2)*R_cs</f>
        <v>0.102588964474679</v>
      </c>
      <c r="AP39" s="106">
        <f t="shared" si="16"/>
        <v>0.0756</v>
      </c>
      <c r="AQ39" s="107">
        <f t="shared" si="29"/>
        <v>0.0132</v>
      </c>
      <c r="AR39" s="105">
        <f t="shared" si="30"/>
        <v>1.00588431051737</v>
      </c>
      <c r="AS39" s="106">
        <f t="shared" si="31"/>
        <v>12.8</v>
      </c>
      <c r="AT39" s="107">
        <f t="shared" si="32"/>
        <v>92.7140899641533</v>
      </c>
    </row>
    <row r="40" spans="17:46">
      <c r="Q40">
        <v>33</v>
      </c>
      <c r="R40" s="105">
        <f t="shared" si="0"/>
        <v>20</v>
      </c>
      <c r="S40" s="106">
        <f t="shared" si="34"/>
        <v>0.66</v>
      </c>
      <c r="T40" s="106">
        <f t="shared" si="2"/>
        <v>4</v>
      </c>
      <c r="U40" s="107">
        <f t="shared" si="35"/>
        <v>3.3</v>
      </c>
      <c r="V40" s="105">
        <f t="shared" si="36"/>
        <v>2</v>
      </c>
      <c r="W40" s="106">
        <f t="shared" si="37"/>
        <v>0.833333333333333</v>
      </c>
      <c r="X40" s="107">
        <f t="shared" si="38"/>
        <v>0.166666666666667</v>
      </c>
      <c r="Y40" s="105">
        <f t="shared" si="18"/>
        <v>0.476190476190476</v>
      </c>
      <c r="Z40" s="106">
        <f t="shared" si="33"/>
        <v>4.43619047619048</v>
      </c>
      <c r="AA40" s="106">
        <f t="shared" si="19"/>
        <v>3.3028618571578</v>
      </c>
      <c r="AB40" s="106">
        <v>0</v>
      </c>
      <c r="AC40" s="106">
        <f t="shared" si="20"/>
        <v>0.109088964474679</v>
      </c>
      <c r="AD40" s="107">
        <f t="shared" si="21"/>
        <v>0.109088964474679</v>
      </c>
      <c r="AE40" s="105">
        <f t="shared" si="22"/>
        <v>1.815</v>
      </c>
      <c r="AF40" s="106">
        <f t="shared" si="23"/>
        <v>3.3028618571578</v>
      </c>
      <c r="AG40" s="106">
        <f t="shared" si="39"/>
        <v>0.092725619803477</v>
      </c>
      <c r="AH40" s="106">
        <f t="shared" si="40"/>
        <v>0.535522686434191</v>
      </c>
      <c r="AI40" s="107">
        <f t="shared" si="24"/>
        <v>0.628248306237668</v>
      </c>
      <c r="AJ40" s="105">
        <f t="shared" si="25"/>
        <v>0.66</v>
      </c>
      <c r="AK40" s="106">
        <f t="shared" si="26"/>
        <v>1.71478376069141</v>
      </c>
      <c r="AL40" s="106">
        <f t="shared" si="27"/>
        <v>0.2145</v>
      </c>
      <c r="AM40" s="106">
        <f t="shared" si="41"/>
        <v>0</v>
      </c>
      <c r="AN40" s="107">
        <f t="shared" si="28"/>
        <v>0.2145</v>
      </c>
      <c r="AO40" s="105">
        <f t="shared" si="42"/>
        <v>0.109088964474679</v>
      </c>
      <c r="AP40" s="106">
        <f t="shared" si="16"/>
        <v>0.0756</v>
      </c>
      <c r="AQ40" s="107">
        <f t="shared" si="29"/>
        <v>0.0132</v>
      </c>
      <c r="AR40" s="105">
        <f t="shared" si="30"/>
        <v>1.04063727071235</v>
      </c>
      <c r="AS40" s="106">
        <f t="shared" si="31"/>
        <v>13.2</v>
      </c>
      <c r="AT40" s="107">
        <f t="shared" si="32"/>
        <v>92.6924810250413</v>
      </c>
    </row>
    <row r="41" spans="17:46">
      <c r="Q41">
        <v>34</v>
      </c>
      <c r="R41" s="105">
        <f t="shared" si="0"/>
        <v>20</v>
      </c>
      <c r="S41" s="106">
        <f t="shared" si="34"/>
        <v>0.68</v>
      </c>
      <c r="T41" s="106">
        <f t="shared" si="2"/>
        <v>4</v>
      </c>
      <c r="U41" s="107">
        <f t="shared" si="35"/>
        <v>3.4</v>
      </c>
      <c r="V41" s="105">
        <f t="shared" si="36"/>
        <v>2</v>
      </c>
      <c r="W41" s="106">
        <f t="shared" si="37"/>
        <v>0.833333333333333</v>
      </c>
      <c r="X41" s="107">
        <f t="shared" si="38"/>
        <v>0.166666666666667</v>
      </c>
      <c r="Y41" s="105">
        <f t="shared" si="18"/>
        <v>0.476190476190476</v>
      </c>
      <c r="Z41" s="106">
        <f t="shared" si="33"/>
        <v>4.55619047619048</v>
      </c>
      <c r="AA41" s="106">
        <f t="shared" si="19"/>
        <v>3.40277775463927</v>
      </c>
      <c r="AB41" s="106">
        <v>0</v>
      </c>
      <c r="AC41" s="106">
        <f t="shared" si="20"/>
        <v>0.115788964474679</v>
      </c>
      <c r="AD41" s="107">
        <f t="shared" si="21"/>
        <v>0.115788964474679</v>
      </c>
      <c r="AE41" s="105">
        <f t="shared" si="22"/>
        <v>1.92666666666667</v>
      </c>
      <c r="AF41" s="106">
        <f t="shared" si="23"/>
        <v>3.40277775463927</v>
      </c>
      <c r="AG41" s="106">
        <f t="shared" si="39"/>
        <v>0.098420619803477</v>
      </c>
      <c r="AH41" s="106">
        <f t="shared" si="40"/>
        <v>0.551750646629166</v>
      </c>
      <c r="AI41" s="107">
        <f t="shared" si="24"/>
        <v>0.650171266432643</v>
      </c>
      <c r="AJ41" s="105">
        <f t="shared" si="25"/>
        <v>0.68</v>
      </c>
      <c r="AK41" s="106">
        <f t="shared" si="26"/>
        <v>1.76374804194215</v>
      </c>
      <c r="AL41" s="106">
        <f t="shared" si="27"/>
        <v>0.221</v>
      </c>
      <c r="AM41" s="106">
        <f t="shared" si="41"/>
        <v>0</v>
      </c>
      <c r="AN41" s="107">
        <f t="shared" si="28"/>
        <v>0.221</v>
      </c>
      <c r="AO41" s="105">
        <f t="shared" si="42"/>
        <v>0.115788964474679</v>
      </c>
      <c r="AP41" s="106">
        <f t="shared" si="16"/>
        <v>0.0756</v>
      </c>
      <c r="AQ41" s="107">
        <f t="shared" si="29"/>
        <v>0.0132</v>
      </c>
      <c r="AR41" s="105">
        <f t="shared" si="30"/>
        <v>1.07576023090732</v>
      </c>
      <c r="AS41" s="106">
        <f t="shared" si="31"/>
        <v>13.6</v>
      </c>
      <c r="AT41" s="107">
        <f t="shared" si="32"/>
        <v>92.6698159823996</v>
      </c>
    </row>
    <row r="42" spans="17:46">
      <c r="Q42">
        <v>35</v>
      </c>
      <c r="R42" s="105">
        <f t="shared" si="0"/>
        <v>20</v>
      </c>
      <c r="S42" s="106">
        <f t="shared" si="34"/>
        <v>0.7</v>
      </c>
      <c r="T42" s="106">
        <f t="shared" si="2"/>
        <v>4</v>
      </c>
      <c r="U42" s="107">
        <f t="shared" si="35"/>
        <v>3.5</v>
      </c>
      <c r="V42" s="105">
        <f t="shared" si="36"/>
        <v>2</v>
      </c>
      <c r="W42" s="106">
        <f t="shared" si="37"/>
        <v>0.833333333333333</v>
      </c>
      <c r="X42" s="107">
        <f t="shared" si="38"/>
        <v>0.166666666666667</v>
      </c>
      <c r="Y42" s="105">
        <f t="shared" si="18"/>
        <v>0.476190476190476</v>
      </c>
      <c r="Z42" s="106">
        <f t="shared" si="33"/>
        <v>4.67619047619048</v>
      </c>
      <c r="AA42" s="106">
        <f t="shared" si="19"/>
        <v>3.50269845226047</v>
      </c>
      <c r="AB42" s="106">
        <v>0</v>
      </c>
      <c r="AC42" s="106">
        <f t="shared" si="20"/>
        <v>0.122688964474679</v>
      </c>
      <c r="AD42" s="107">
        <f t="shared" si="21"/>
        <v>0.122688964474679</v>
      </c>
      <c r="AE42" s="105">
        <f t="shared" si="22"/>
        <v>2.04166666666667</v>
      </c>
      <c r="AF42" s="106">
        <f t="shared" si="23"/>
        <v>3.50269845226047</v>
      </c>
      <c r="AG42" s="106">
        <f t="shared" si="39"/>
        <v>0.104285619803477</v>
      </c>
      <c r="AH42" s="106">
        <f t="shared" si="40"/>
        <v>0.567978606824142</v>
      </c>
      <c r="AI42" s="107">
        <f t="shared" si="24"/>
        <v>0.672264226627619</v>
      </c>
      <c r="AJ42" s="105">
        <f t="shared" si="25"/>
        <v>0.7</v>
      </c>
      <c r="AK42" s="106">
        <f t="shared" si="26"/>
        <v>1.81271370187865</v>
      </c>
      <c r="AL42" s="106">
        <f t="shared" si="27"/>
        <v>0.2275</v>
      </c>
      <c r="AM42" s="106">
        <f t="shared" si="41"/>
        <v>0</v>
      </c>
      <c r="AN42" s="107">
        <f t="shared" si="28"/>
        <v>0.2275</v>
      </c>
      <c r="AO42" s="105">
        <f t="shared" si="42"/>
        <v>0.122688964474679</v>
      </c>
      <c r="AP42" s="106">
        <f t="shared" si="16"/>
        <v>0.0756</v>
      </c>
      <c r="AQ42" s="107">
        <f t="shared" si="29"/>
        <v>0.0132</v>
      </c>
      <c r="AR42" s="105">
        <f t="shared" si="30"/>
        <v>1.1112531911023</v>
      </c>
      <c r="AS42" s="106">
        <f t="shared" si="31"/>
        <v>14</v>
      </c>
      <c r="AT42" s="107">
        <f t="shared" si="32"/>
        <v>92.6461877314277</v>
      </c>
    </row>
    <row r="43" spans="17:46">
      <c r="Q43">
        <v>36</v>
      </c>
      <c r="R43" s="105">
        <f t="shared" si="0"/>
        <v>20</v>
      </c>
      <c r="S43" s="106">
        <f t="shared" si="34"/>
        <v>0.72</v>
      </c>
      <c r="T43" s="106">
        <f t="shared" si="2"/>
        <v>4</v>
      </c>
      <c r="U43" s="107">
        <f t="shared" si="35"/>
        <v>3.6</v>
      </c>
      <c r="V43" s="105">
        <f t="shared" si="36"/>
        <v>2</v>
      </c>
      <c r="W43" s="106">
        <f t="shared" si="37"/>
        <v>0.833333333333333</v>
      </c>
      <c r="X43" s="107">
        <f t="shared" si="38"/>
        <v>0.166666666666667</v>
      </c>
      <c r="Y43" s="105">
        <f t="shared" si="18"/>
        <v>0.476190476190476</v>
      </c>
      <c r="Z43" s="106">
        <f t="shared" si="33"/>
        <v>4.79619047619048</v>
      </c>
      <c r="AA43" s="106">
        <f t="shared" si="19"/>
        <v>3.60262355061806</v>
      </c>
      <c r="AB43" s="106">
        <v>0</v>
      </c>
      <c r="AC43" s="106">
        <f t="shared" si="20"/>
        <v>0.129788964474679</v>
      </c>
      <c r="AD43" s="107">
        <f t="shared" si="21"/>
        <v>0.129788964474679</v>
      </c>
      <c r="AE43" s="105">
        <f t="shared" si="22"/>
        <v>2.16</v>
      </c>
      <c r="AF43" s="106">
        <f t="shared" si="23"/>
        <v>3.60262355061806</v>
      </c>
      <c r="AG43" s="106">
        <f t="shared" si="39"/>
        <v>0.110320619803477</v>
      </c>
      <c r="AH43" s="106">
        <f t="shared" si="40"/>
        <v>0.584206567019117</v>
      </c>
      <c r="AI43" s="107">
        <f t="shared" si="24"/>
        <v>0.694527186822594</v>
      </c>
      <c r="AJ43" s="105">
        <f t="shared" si="25"/>
        <v>0.72</v>
      </c>
      <c r="AK43" s="106">
        <f t="shared" si="26"/>
        <v>1.8616806317149</v>
      </c>
      <c r="AL43" s="106">
        <f t="shared" si="27"/>
        <v>0.234</v>
      </c>
      <c r="AM43" s="106">
        <f t="shared" si="41"/>
        <v>0</v>
      </c>
      <c r="AN43" s="107">
        <f t="shared" si="28"/>
        <v>0.234</v>
      </c>
      <c r="AO43" s="105">
        <f t="shared" si="42"/>
        <v>0.129788964474679</v>
      </c>
      <c r="AP43" s="106">
        <f t="shared" si="16"/>
        <v>0.0756</v>
      </c>
      <c r="AQ43" s="107">
        <f t="shared" si="29"/>
        <v>0.0132</v>
      </c>
      <c r="AR43" s="105">
        <f t="shared" si="30"/>
        <v>1.14711615129727</v>
      </c>
      <c r="AS43" s="106">
        <f t="shared" si="31"/>
        <v>14.4</v>
      </c>
      <c r="AT43" s="107">
        <f t="shared" si="32"/>
        <v>92.6216789008709</v>
      </c>
    </row>
    <row r="44" spans="17:46">
      <c r="Q44">
        <v>37</v>
      </c>
      <c r="R44" s="105">
        <f t="shared" si="0"/>
        <v>20</v>
      </c>
      <c r="S44" s="106">
        <f t="shared" si="34"/>
        <v>0.74</v>
      </c>
      <c r="T44" s="106">
        <f t="shared" si="2"/>
        <v>4</v>
      </c>
      <c r="U44" s="107">
        <f t="shared" si="35"/>
        <v>3.7</v>
      </c>
      <c r="V44" s="105">
        <f t="shared" si="36"/>
        <v>2</v>
      </c>
      <c r="W44" s="106">
        <f t="shared" si="37"/>
        <v>0.833333333333333</v>
      </c>
      <c r="X44" s="107">
        <f t="shared" si="38"/>
        <v>0.166666666666667</v>
      </c>
      <c r="Y44" s="105">
        <f t="shared" si="18"/>
        <v>0.476190476190476</v>
      </c>
      <c r="Z44" s="106">
        <f t="shared" si="33"/>
        <v>4.91619047619048</v>
      </c>
      <c r="AA44" s="106">
        <f t="shared" si="19"/>
        <v>3.70255269340868</v>
      </c>
      <c r="AB44" s="106">
        <v>0</v>
      </c>
      <c r="AC44" s="106">
        <f t="shared" si="20"/>
        <v>0.137088964474679</v>
      </c>
      <c r="AD44" s="107">
        <f t="shared" si="21"/>
        <v>0.137088964474679</v>
      </c>
      <c r="AE44" s="105">
        <f t="shared" si="22"/>
        <v>2.28166666666667</v>
      </c>
      <c r="AF44" s="106">
        <f t="shared" si="23"/>
        <v>3.70255269340868</v>
      </c>
      <c r="AG44" s="106">
        <f t="shared" si="39"/>
        <v>0.116525619803477</v>
      </c>
      <c r="AH44" s="106">
        <f t="shared" si="40"/>
        <v>0.600434527214093</v>
      </c>
      <c r="AI44" s="107">
        <f t="shared" si="24"/>
        <v>0.71696014701757</v>
      </c>
      <c r="AJ44" s="105">
        <f t="shared" si="25"/>
        <v>0.74</v>
      </c>
      <c r="AK44" s="106">
        <f t="shared" si="26"/>
        <v>1.9106487338143</v>
      </c>
      <c r="AL44" s="106">
        <f t="shared" si="27"/>
        <v>0.2405</v>
      </c>
      <c r="AM44" s="106">
        <f t="shared" si="41"/>
        <v>0</v>
      </c>
      <c r="AN44" s="107">
        <f t="shared" si="28"/>
        <v>0.2405</v>
      </c>
      <c r="AO44" s="105">
        <f t="shared" si="42"/>
        <v>0.137088964474679</v>
      </c>
      <c r="AP44" s="106">
        <f t="shared" si="16"/>
        <v>0.0756</v>
      </c>
      <c r="AQ44" s="107">
        <f t="shared" si="29"/>
        <v>0.0132</v>
      </c>
      <c r="AR44" s="105">
        <f t="shared" si="30"/>
        <v>1.18334911149225</v>
      </c>
      <c r="AS44" s="106">
        <f t="shared" si="31"/>
        <v>14.8</v>
      </c>
      <c r="AT44" s="107">
        <f t="shared" si="32"/>
        <v>92.5963632325255</v>
      </c>
    </row>
    <row r="45" spans="17:46">
      <c r="Q45">
        <v>38</v>
      </c>
      <c r="R45" s="105">
        <f t="shared" si="0"/>
        <v>20</v>
      </c>
      <c r="S45" s="106">
        <f t="shared" si="34"/>
        <v>0.76</v>
      </c>
      <c r="T45" s="106">
        <f t="shared" si="2"/>
        <v>4</v>
      </c>
      <c r="U45" s="107">
        <f t="shared" si="35"/>
        <v>3.8</v>
      </c>
      <c r="V45" s="105">
        <f t="shared" si="36"/>
        <v>2</v>
      </c>
      <c r="W45" s="106">
        <f t="shared" si="37"/>
        <v>0.833333333333333</v>
      </c>
      <c r="X45" s="107">
        <f t="shared" si="38"/>
        <v>0.166666666666667</v>
      </c>
      <c r="Y45" s="105">
        <f t="shared" si="18"/>
        <v>0.476190476190476</v>
      </c>
      <c r="Z45" s="106">
        <f t="shared" si="33"/>
        <v>5.03619047619048</v>
      </c>
      <c r="AA45" s="106">
        <f t="shared" si="19"/>
        <v>3.80248556176981</v>
      </c>
      <c r="AB45" s="106">
        <v>0</v>
      </c>
      <c r="AC45" s="106">
        <f t="shared" si="20"/>
        <v>0.144588964474679</v>
      </c>
      <c r="AD45" s="107">
        <f t="shared" si="21"/>
        <v>0.144588964474679</v>
      </c>
      <c r="AE45" s="105">
        <f t="shared" si="22"/>
        <v>2.40666666666667</v>
      </c>
      <c r="AF45" s="106">
        <f t="shared" si="23"/>
        <v>3.80248556176981</v>
      </c>
      <c r="AG45" s="106">
        <f t="shared" si="39"/>
        <v>0.122900619803477</v>
      </c>
      <c r="AH45" s="106">
        <f t="shared" si="40"/>
        <v>0.616662487409068</v>
      </c>
      <c r="AI45" s="107">
        <f t="shared" si="24"/>
        <v>0.739563107212545</v>
      </c>
      <c r="AJ45" s="105">
        <f t="shared" si="25"/>
        <v>0.76</v>
      </c>
      <c r="AK45" s="106">
        <f t="shared" si="26"/>
        <v>1.95961792029722</v>
      </c>
      <c r="AL45" s="106">
        <f t="shared" si="27"/>
        <v>0.247</v>
      </c>
      <c r="AM45" s="106">
        <f t="shared" si="41"/>
        <v>0</v>
      </c>
      <c r="AN45" s="107">
        <f t="shared" si="28"/>
        <v>0.247</v>
      </c>
      <c r="AO45" s="105">
        <f t="shared" si="42"/>
        <v>0.144588964474679</v>
      </c>
      <c r="AP45" s="106">
        <f t="shared" si="16"/>
        <v>0.0756</v>
      </c>
      <c r="AQ45" s="107">
        <f t="shared" si="29"/>
        <v>0.0132</v>
      </c>
      <c r="AR45" s="105">
        <f t="shared" si="30"/>
        <v>1.21995207168722</v>
      </c>
      <c r="AS45" s="106">
        <f t="shared" si="31"/>
        <v>15.2</v>
      </c>
      <c r="AT45" s="107">
        <f t="shared" si="32"/>
        <v>92.5703067441301</v>
      </c>
    </row>
    <row r="46" spans="17:46">
      <c r="Q46">
        <v>39</v>
      </c>
      <c r="R46" s="105">
        <f t="shared" si="0"/>
        <v>20</v>
      </c>
      <c r="S46" s="106">
        <f t="shared" si="34"/>
        <v>0.78</v>
      </c>
      <c r="T46" s="106">
        <f t="shared" si="2"/>
        <v>4</v>
      </c>
      <c r="U46" s="107">
        <f t="shared" si="35"/>
        <v>3.9</v>
      </c>
      <c r="V46" s="105">
        <f t="shared" si="36"/>
        <v>2</v>
      </c>
      <c r="W46" s="106">
        <f t="shared" si="37"/>
        <v>0.833333333333333</v>
      </c>
      <c r="X46" s="107">
        <f t="shared" si="38"/>
        <v>0.166666666666667</v>
      </c>
      <c r="Y46" s="105">
        <f t="shared" si="18"/>
        <v>0.476190476190476</v>
      </c>
      <c r="Z46" s="106">
        <f t="shared" si="33"/>
        <v>5.15619047619048</v>
      </c>
      <c r="AA46" s="106">
        <f t="shared" si="19"/>
        <v>3.90242186948924</v>
      </c>
      <c r="AB46" s="106">
        <v>0</v>
      </c>
      <c r="AC46" s="106">
        <f t="shared" si="20"/>
        <v>0.152288964474679</v>
      </c>
      <c r="AD46" s="107">
        <f t="shared" si="21"/>
        <v>0.152288964474679</v>
      </c>
      <c r="AE46" s="105">
        <f t="shared" si="22"/>
        <v>2.535</v>
      </c>
      <c r="AF46" s="106">
        <f t="shared" si="23"/>
        <v>3.90242186948924</v>
      </c>
      <c r="AG46" s="106">
        <f t="shared" si="39"/>
        <v>0.129445619803477</v>
      </c>
      <c r="AH46" s="106">
        <f t="shared" si="40"/>
        <v>0.632890447604044</v>
      </c>
      <c r="AI46" s="107">
        <f t="shared" si="24"/>
        <v>0.762336067407521</v>
      </c>
      <c r="AJ46" s="105">
        <f t="shared" si="25"/>
        <v>0.78</v>
      </c>
      <c r="AK46" s="106">
        <f t="shared" si="26"/>
        <v>2.00858811185216</v>
      </c>
      <c r="AL46" s="106">
        <f t="shared" si="27"/>
        <v>0.2535</v>
      </c>
      <c r="AM46" s="106">
        <f t="shared" si="41"/>
        <v>0</v>
      </c>
      <c r="AN46" s="107">
        <f t="shared" si="28"/>
        <v>0.2535</v>
      </c>
      <c r="AO46" s="105">
        <f t="shared" si="42"/>
        <v>0.152288964474679</v>
      </c>
      <c r="AP46" s="106">
        <f t="shared" si="16"/>
        <v>0.0756</v>
      </c>
      <c r="AQ46" s="107">
        <f t="shared" si="29"/>
        <v>0.0132</v>
      </c>
      <c r="AR46" s="105">
        <f t="shared" si="30"/>
        <v>1.2569250318822</v>
      </c>
      <c r="AS46" s="106">
        <f t="shared" si="31"/>
        <v>15.6</v>
      </c>
      <c r="AT46" s="107">
        <f t="shared" si="32"/>
        <v>92.5435687143122</v>
      </c>
    </row>
    <row r="47" spans="17:46">
      <c r="Q47">
        <v>40</v>
      </c>
      <c r="R47" s="105">
        <f t="shared" si="0"/>
        <v>20</v>
      </c>
      <c r="S47" s="106">
        <f t="shared" si="34"/>
        <v>0.8</v>
      </c>
      <c r="T47" s="106">
        <f t="shared" si="2"/>
        <v>4</v>
      </c>
      <c r="U47" s="107">
        <f t="shared" si="35"/>
        <v>4</v>
      </c>
      <c r="V47" s="105">
        <f t="shared" si="36"/>
        <v>2</v>
      </c>
      <c r="W47" s="106">
        <f t="shared" si="37"/>
        <v>0.833333333333333</v>
      </c>
      <c r="X47" s="107">
        <f t="shared" si="38"/>
        <v>0.166666666666667</v>
      </c>
      <c r="Y47" s="105">
        <f t="shared" si="18"/>
        <v>0.476190476190476</v>
      </c>
      <c r="Z47" s="106">
        <f t="shared" si="33"/>
        <v>5.27619047619048</v>
      </c>
      <c r="AA47" s="106">
        <f t="shared" si="19"/>
        <v>4.00236135893148</v>
      </c>
      <c r="AB47" s="106">
        <v>0</v>
      </c>
      <c r="AC47" s="106">
        <f t="shared" si="20"/>
        <v>0.160188964474679</v>
      </c>
      <c r="AD47" s="107">
        <f t="shared" si="21"/>
        <v>0.160188964474679</v>
      </c>
      <c r="AE47" s="105">
        <f t="shared" si="22"/>
        <v>2.66666666666667</v>
      </c>
      <c r="AF47" s="106">
        <f t="shared" si="23"/>
        <v>4.00236135893148</v>
      </c>
      <c r="AG47" s="106">
        <f t="shared" si="39"/>
        <v>0.136160619803477</v>
      </c>
      <c r="AH47" s="106">
        <f t="shared" si="40"/>
        <v>0.649118407799019</v>
      </c>
      <c r="AI47" s="107">
        <f t="shared" si="24"/>
        <v>0.785279027602496</v>
      </c>
      <c r="AJ47" s="105">
        <f t="shared" si="25"/>
        <v>0.8</v>
      </c>
      <c r="AK47" s="106">
        <f t="shared" si="26"/>
        <v>2.05755923671656</v>
      </c>
      <c r="AL47" s="106">
        <f t="shared" si="27"/>
        <v>0.26</v>
      </c>
      <c r="AM47" s="106">
        <f t="shared" si="41"/>
        <v>0</v>
      </c>
      <c r="AN47" s="107">
        <f t="shared" si="28"/>
        <v>0.26</v>
      </c>
      <c r="AO47" s="105">
        <f t="shared" si="42"/>
        <v>0.160188964474679</v>
      </c>
      <c r="AP47" s="106">
        <f t="shared" si="16"/>
        <v>0.0756</v>
      </c>
      <c r="AQ47" s="107">
        <f t="shared" si="29"/>
        <v>0.0132</v>
      </c>
      <c r="AR47" s="105">
        <f t="shared" si="30"/>
        <v>1.29426799207717</v>
      </c>
      <c r="AS47" s="106">
        <f t="shared" si="31"/>
        <v>16</v>
      </c>
      <c r="AT47" s="107">
        <f t="shared" si="32"/>
        <v>92.5162025205687</v>
      </c>
    </row>
    <row r="48" spans="17:46">
      <c r="Q48">
        <v>41</v>
      </c>
      <c r="R48" s="105">
        <f t="shared" si="0"/>
        <v>20</v>
      </c>
      <c r="S48" s="106">
        <f t="shared" si="34"/>
        <v>0.82</v>
      </c>
      <c r="T48" s="106">
        <f t="shared" si="2"/>
        <v>4</v>
      </c>
      <c r="U48" s="107">
        <f t="shared" si="35"/>
        <v>4.1</v>
      </c>
      <c r="V48" s="105">
        <f t="shared" si="36"/>
        <v>2</v>
      </c>
      <c r="W48" s="106">
        <f t="shared" si="37"/>
        <v>0.833333333333333</v>
      </c>
      <c r="X48" s="107">
        <f t="shared" si="38"/>
        <v>0.166666666666667</v>
      </c>
      <c r="Y48" s="105">
        <f t="shared" si="18"/>
        <v>0.476190476190476</v>
      </c>
      <c r="Z48" s="106">
        <f t="shared" si="33"/>
        <v>5.39619047619048</v>
      </c>
      <c r="AA48" s="106">
        <f t="shared" si="19"/>
        <v>4.10230379755911</v>
      </c>
      <c r="AB48" s="106">
        <v>0</v>
      </c>
      <c r="AC48" s="106">
        <f t="shared" si="20"/>
        <v>0.168288964474679</v>
      </c>
      <c r="AD48" s="107">
        <f t="shared" si="21"/>
        <v>0.168288964474679</v>
      </c>
      <c r="AE48" s="105">
        <f t="shared" si="22"/>
        <v>2.80166666666667</v>
      </c>
      <c r="AF48" s="106">
        <f t="shared" si="23"/>
        <v>4.10230379755911</v>
      </c>
      <c r="AG48" s="106">
        <f t="shared" si="39"/>
        <v>0.143045619803477</v>
      </c>
      <c r="AH48" s="106">
        <f t="shared" si="40"/>
        <v>0.665346367993995</v>
      </c>
      <c r="AI48" s="107">
        <f t="shared" si="24"/>
        <v>0.808391987797472</v>
      </c>
      <c r="AJ48" s="105">
        <f t="shared" si="25"/>
        <v>0.82</v>
      </c>
      <c r="AK48" s="106">
        <f t="shared" si="26"/>
        <v>2.1065312297997</v>
      </c>
      <c r="AL48" s="106">
        <f t="shared" si="27"/>
        <v>0.2665</v>
      </c>
      <c r="AM48" s="106">
        <f t="shared" si="41"/>
        <v>0</v>
      </c>
      <c r="AN48" s="107">
        <f t="shared" si="28"/>
        <v>0.2665</v>
      </c>
      <c r="AO48" s="105">
        <f t="shared" si="42"/>
        <v>0.168288964474679</v>
      </c>
      <c r="AP48" s="106">
        <f t="shared" si="16"/>
        <v>0.0756</v>
      </c>
      <c r="AQ48" s="107">
        <f t="shared" si="29"/>
        <v>0.0132</v>
      </c>
      <c r="AR48" s="105">
        <f t="shared" si="30"/>
        <v>1.33198095227215</v>
      </c>
      <c r="AS48" s="106">
        <f t="shared" si="31"/>
        <v>16.4</v>
      </c>
      <c r="AT48" s="107">
        <f t="shared" si="32"/>
        <v>92.4882563552412</v>
      </c>
    </row>
    <row r="49" spans="17:46">
      <c r="Q49">
        <v>42</v>
      </c>
      <c r="R49" s="105">
        <f t="shared" si="0"/>
        <v>20</v>
      </c>
      <c r="S49" s="106">
        <f t="shared" si="34"/>
        <v>0.84</v>
      </c>
      <c r="T49" s="106">
        <f t="shared" si="2"/>
        <v>4</v>
      </c>
      <c r="U49" s="107">
        <f t="shared" si="35"/>
        <v>4.2</v>
      </c>
      <c r="V49" s="105">
        <f t="shared" si="36"/>
        <v>2</v>
      </c>
      <c r="W49" s="106">
        <f t="shared" si="37"/>
        <v>0.833333333333333</v>
      </c>
      <c r="X49" s="107">
        <f t="shared" si="38"/>
        <v>0.166666666666667</v>
      </c>
      <c r="Y49" s="105">
        <f t="shared" si="18"/>
        <v>0.476190476190476</v>
      </c>
      <c r="Z49" s="106">
        <f t="shared" si="33"/>
        <v>5.51619047619048</v>
      </c>
      <c r="AA49" s="106">
        <f t="shared" si="19"/>
        <v>4.20224897494995</v>
      </c>
      <c r="AB49" s="106">
        <v>0</v>
      </c>
      <c r="AC49" s="106">
        <f t="shared" si="20"/>
        <v>0.176588964474679</v>
      </c>
      <c r="AD49" s="107">
        <f t="shared" si="21"/>
        <v>0.176588964474679</v>
      </c>
      <c r="AE49" s="105">
        <f t="shared" si="22"/>
        <v>2.94</v>
      </c>
      <c r="AF49" s="106">
        <f t="shared" si="23"/>
        <v>4.20224897494995</v>
      </c>
      <c r="AG49" s="106">
        <f t="shared" si="39"/>
        <v>0.150100619803477</v>
      </c>
      <c r="AH49" s="106">
        <f t="shared" si="40"/>
        <v>0.68157432818897</v>
      </c>
      <c r="AI49" s="107">
        <f t="shared" si="24"/>
        <v>0.831674947992447</v>
      </c>
      <c r="AJ49" s="105">
        <f t="shared" si="25"/>
        <v>0.84</v>
      </c>
      <c r="AK49" s="106">
        <f t="shared" si="26"/>
        <v>2.15550403192507</v>
      </c>
      <c r="AL49" s="106">
        <f t="shared" si="27"/>
        <v>0.273</v>
      </c>
      <c r="AM49" s="106">
        <f t="shared" si="41"/>
        <v>0</v>
      </c>
      <c r="AN49" s="107">
        <f t="shared" si="28"/>
        <v>0.273</v>
      </c>
      <c r="AO49" s="105">
        <f t="shared" si="42"/>
        <v>0.176588964474679</v>
      </c>
      <c r="AP49" s="106">
        <f t="shared" si="16"/>
        <v>0.0756</v>
      </c>
      <c r="AQ49" s="107">
        <f t="shared" si="29"/>
        <v>0.0132</v>
      </c>
      <c r="AR49" s="105">
        <f t="shared" si="30"/>
        <v>1.37006391246713</v>
      </c>
      <c r="AS49" s="106">
        <f t="shared" si="31"/>
        <v>16.8</v>
      </c>
      <c r="AT49" s="107">
        <f t="shared" si="32"/>
        <v>92.4597738397217</v>
      </c>
    </row>
    <row r="50" spans="17:46">
      <c r="Q50">
        <v>43</v>
      </c>
      <c r="R50" s="105">
        <f t="shared" si="0"/>
        <v>20</v>
      </c>
      <c r="S50" s="106">
        <f t="shared" si="34"/>
        <v>0.86</v>
      </c>
      <c r="T50" s="106">
        <f t="shared" si="2"/>
        <v>4</v>
      </c>
      <c r="U50" s="107">
        <f t="shared" si="35"/>
        <v>4.3</v>
      </c>
      <c r="V50" s="105">
        <f t="shared" si="36"/>
        <v>2</v>
      </c>
      <c r="W50" s="106">
        <f t="shared" si="37"/>
        <v>0.833333333333333</v>
      </c>
      <c r="X50" s="107">
        <f t="shared" si="38"/>
        <v>0.166666666666667</v>
      </c>
      <c r="Y50" s="105">
        <f t="shared" si="18"/>
        <v>0.476190476190476</v>
      </c>
      <c r="Z50" s="106">
        <f t="shared" si="33"/>
        <v>5.63619047619048</v>
      </c>
      <c r="AA50" s="106">
        <f t="shared" si="19"/>
        <v>4.30219670022976</v>
      </c>
      <c r="AB50" s="106">
        <v>0</v>
      </c>
      <c r="AC50" s="106">
        <f t="shared" si="20"/>
        <v>0.185088964474679</v>
      </c>
      <c r="AD50" s="107">
        <f t="shared" si="21"/>
        <v>0.185088964474679</v>
      </c>
      <c r="AE50" s="105">
        <f t="shared" si="22"/>
        <v>3.08166666666667</v>
      </c>
      <c r="AF50" s="106">
        <f t="shared" si="23"/>
        <v>4.30219670022976</v>
      </c>
      <c r="AG50" s="106">
        <f t="shared" si="39"/>
        <v>0.157325619803477</v>
      </c>
      <c r="AH50" s="106">
        <f t="shared" si="40"/>
        <v>0.697802288383946</v>
      </c>
      <c r="AI50" s="107">
        <f t="shared" si="24"/>
        <v>0.855127908187423</v>
      </c>
      <c r="AJ50" s="105">
        <f t="shared" si="25"/>
        <v>0.86</v>
      </c>
      <c r="AK50" s="106">
        <f t="shared" si="26"/>
        <v>2.20447758917369</v>
      </c>
      <c r="AL50" s="106">
        <f t="shared" si="27"/>
        <v>0.2795</v>
      </c>
      <c r="AM50" s="106">
        <f t="shared" si="41"/>
        <v>0</v>
      </c>
      <c r="AN50" s="107">
        <f t="shared" si="28"/>
        <v>0.2795</v>
      </c>
      <c r="AO50" s="105">
        <f t="shared" si="42"/>
        <v>0.185088964474679</v>
      </c>
      <c r="AP50" s="106">
        <f t="shared" si="16"/>
        <v>0.0756</v>
      </c>
      <c r="AQ50" s="107">
        <f t="shared" si="29"/>
        <v>0.0132</v>
      </c>
      <c r="AR50" s="105">
        <f t="shared" si="30"/>
        <v>1.4085168726621</v>
      </c>
      <c r="AS50" s="106">
        <f t="shared" si="31"/>
        <v>17.2</v>
      </c>
      <c r="AT50" s="107">
        <f t="shared" si="32"/>
        <v>92.4307945533727</v>
      </c>
    </row>
    <row r="51" spans="17:46">
      <c r="Q51">
        <v>44</v>
      </c>
      <c r="R51" s="105">
        <f t="shared" si="0"/>
        <v>20</v>
      </c>
      <c r="S51" s="106">
        <f t="shared" si="34"/>
        <v>0.88</v>
      </c>
      <c r="T51" s="106">
        <f t="shared" si="2"/>
        <v>4</v>
      </c>
      <c r="U51" s="107">
        <f t="shared" si="35"/>
        <v>4.4</v>
      </c>
      <c r="V51" s="105">
        <f t="shared" si="36"/>
        <v>2</v>
      </c>
      <c r="W51" s="106">
        <f t="shared" si="37"/>
        <v>0.833333333333333</v>
      </c>
      <c r="X51" s="107">
        <f t="shared" si="38"/>
        <v>0.166666666666667</v>
      </c>
      <c r="Y51" s="105">
        <f t="shared" si="18"/>
        <v>0.476190476190476</v>
      </c>
      <c r="Z51" s="106">
        <f t="shared" si="33"/>
        <v>5.75619047619048</v>
      </c>
      <c r="AA51" s="106">
        <f t="shared" si="19"/>
        <v>4.40214679985435</v>
      </c>
      <c r="AB51" s="106">
        <v>0</v>
      </c>
      <c r="AC51" s="106">
        <f t="shared" si="20"/>
        <v>0.193788964474679</v>
      </c>
      <c r="AD51" s="107">
        <f t="shared" si="21"/>
        <v>0.193788964474679</v>
      </c>
      <c r="AE51" s="105">
        <f t="shared" si="22"/>
        <v>3.22666666666667</v>
      </c>
      <c r="AF51" s="106">
        <f t="shared" si="23"/>
        <v>4.40214679985435</v>
      </c>
      <c r="AG51" s="106">
        <f t="shared" si="39"/>
        <v>0.164720619803477</v>
      </c>
      <c r="AH51" s="106">
        <f t="shared" si="40"/>
        <v>0.714030248578921</v>
      </c>
      <c r="AI51" s="107">
        <f t="shared" si="24"/>
        <v>0.878750868382398</v>
      </c>
      <c r="AJ51" s="105">
        <f t="shared" si="25"/>
        <v>0.88</v>
      </c>
      <c r="AK51" s="106">
        <f t="shared" si="26"/>
        <v>2.25345185231299</v>
      </c>
      <c r="AL51" s="106">
        <f t="shared" si="27"/>
        <v>0.286</v>
      </c>
      <c r="AM51" s="106">
        <f t="shared" si="41"/>
        <v>0</v>
      </c>
      <c r="AN51" s="107">
        <f t="shared" si="28"/>
        <v>0.286</v>
      </c>
      <c r="AO51" s="105">
        <f t="shared" si="42"/>
        <v>0.193788964474679</v>
      </c>
      <c r="AP51" s="106">
        <f t="shared" si="16"/>
        <v>0.0756</v>
      </c>
      <c r="AQ51" s="107">
        <f t="shared" si="29"/>
        <v>0.0132</v>
      </c>
      <c r="AR51" s="105">
        <f t="shared" si="30"/>
        <v>1.44733983285708</v>
      </c>
      <c r="AS51" s="106">
        <f t="shared" si="31"/>
        <v>17.6</v>
      </c>
      <c r="AT51" s="107">
        <f t="shared" si="32"/>
        <v>92.4013544906655</v>
      </c>
    </row>
    <row r="52" spans="17:46">
      <c r="Q52">
        <v>45</v>
      </c>
      <c r="R52" s="105">
        <f t="shared" si="0"/>
        <v>20</v>
      </c>
      <c r="S52" s="106">
        <f t="shared" si="34"/>
        <v>0.9</v>
      </c>
      <c r="T52" s="106">
        <f t="shared" si="2"/>
        <v>4</v>
      </c>
      <c r="U52" s="107">
        <f t="shared" si="35"/>
        <v>4.5</v>
      </c>
      <c r="V52" s="105">
        <f t="shared" si="36"/>
        <v>2</v>
      </c>
      <c r="W52" s="106">
        <f t="shared" si="37"/>
        <v>0.833333333333333</v>
      </c>
      <c r="X52" s="107">
        <f t="shared" si="38"/>
        <v>0.166666666666667</v>
      </c>
      <c r="Y52" s="105">
        <f t="shared" si="18"/>
        <v>0.476190476190476</v>
      </c>
      <c r="Z52" s="106">
        <f t="shared" si="33"/>
        <v>5.87619047619048</v>
      </c>
      <c r="AA52" s="106">
        <f t="shared" si="19"/>
        <v>4.5020991156868</v>
      </c>
      <c r="AB52" s="106">
        <v>0</v>
      </c>
      <c r="AC52" s="106">
        <f t="shared" si="20"/>
        <v>0.202688964474679</v>
      </c>
      <c r="AD52" s="107">
        <f t="shared" si="21"/>
        <v>0.202688964474679</v>
      </c>
      <c r="AE52" s="105">
        <f t="shared" si="22"/>
        <v>3.375</v>
      </c>
      <c r="AF52" s="106">
        <f t="shared" si="23"/>
        <v>4.5020991156868</v>
      </c>
      <c r="AG52" s="106">
        <f t="shared" si="39"/>
        <v>0.172285619803477</v>
      </c>
      <c r="AH52" s="106">
        <f t="shared" si="40"/>
        <v>0.730258208773897</v>
      </c>
      <c r="AI52" s="107">
        <f t="shared" si="24"/>
        <v>0.902543828577374</v>
      </c>
      <c r="AJ52" s="105">
        <f t="shared" si="25"/>
        <v>0.9</v>
      </c>
      <c r="AK52" s="106">
        <f t="shared" si="26"/>
        <v>2.30242677629858</v>
      </c>
      <c r="AL52" s="106">
        <f t="shared" si="27"/>
        <v>0.2925</v>
      </c>
      <c r="AM52" s="106">
        <f t="shared" si="41"/>
        <v>0</v>
      </c>
      <c r="AN52" s="107">
        <f t="shared" si="28"/>
        <v>0.2925</v>
      </c>
      <c r="AO52" s="105">
        <f t="shared" si="42"/>
        <v>0.202688964474679</v>
      </c>
      <c r="AP52" s="106">
        <f t="shared" si="16"/>
        <v>0.0756</v>
      </c>
      <c r="AQ52" s="107">
        <f t="shared" si="29"/>
        <v>0.0132</v>
      </c>
      <c r="AR52" s="105">
        <f t="shared" si="30"/>
        <v>1.48653279305205</v>
      </c>
      <c r="AS52" s="106">
        <f t="shared" si="31"/>
        <v>18</v>
      </c>
      <c r="AT52" s="107">
        <f t="shared" si="32"/>
        <v>92.371486457652</v>
      </c>
    </row>
    <row r="53" spans="17:46">
      <c r="Q53">
        <v>46</v>
      </c>
      <c r="R53" s="105">
        <f t="shared" si="0"/>
        <v>20</v>
      </c>
      <c r="S53" s="106">
        <f t="shared" si="34"/>
        <v>0.92</v>
      </c>
      <c r="T53" s="106">
        <f t="shared" si="2"/>
        <v>4</v>
      </c>
      <c r="U53" s="107">
        <f t="shared" si="35"/>
        <v>4.6</v>
      </c>
      <c r="V53" s="105">
        <f t="shared" si="36"/>
        <v>2</v>
      </c>
      <c r="W53" s="106">
        <f t="shared" si="37"/>
        <v>0.833333333333333</v>
      </c>
      <c r="X53" s="107">
        <f t="shared" si="38"/>
        <v>0.166666666666667</v>
      </c>
      <c r="Y53" s="105">
        <f t="shared" si="18"/>
        <v>0.476190476190476</v>
      </c>
      <c r="Z53" s="106">
        <f t="shared" si="33"/>
        <v>5.99619047619048</v>
      </c>
      <c r="AA53" s="106">
        <f t="shared" si="19"/>
        <v>4.60205350332522</v>
      </c>
      <c r="AB53" s="106">
        <v>0</v>
      </c>
      <c r="AC53" s="106">
        <f t="shared" si="20"/>
        <v>0.211788964474679</v>
      </c>
      <c r="AD53" s="107">
        <f t="shared" si="21"/>
        <v>0.211788964474679</v>
      </c>
      <c r="AE53" s="105">
        <f t="shared" si="22"/>
        <v>3.52666666666667</v>
      </c>
      <c r="AF53" s="106">
        <f t="shared" si="23"/>
        <v>4.60205350332522</v>
      </c>
      <c r="AG53" s="106">
        <f t="shared" si="39"/>
        <v>0.180020619803477</v>
      </c>
      <c r="AH53" s="106">
        <f t="shared" si="40"/>
        <v>0.746486168968872</v>
      </c>
      <c r="AI53" s="107">
        <f t="shared" si="24"/>
        <v>0.926506788772349</v>
      </c>
      <c r="AJ53" s="105">
        <f t="shared" si="25"/>
        <v>0.92</v>
      </c>
      <c r="AK53" s="106">
        <f t="shared" si="26"/>
        <v>2.3514023198382</v>
      </c>
      <c r="AL53" s="106">
        <f t="shared" si="27"/>
        <v>0.299</v>
      </c>
      <c r="AM53" s="106">
        <f t="shared" si="41"/>
        <v>0</v>
      </c>
      <c r="AN53" s="107">
        <f t="shared" si="28"/>
        <v>0.299</v>
      </c>
      <c r="AO53" s="105">
        <f t="shared" si="42"/>
        <v>0.211788964474679</v>
      </c>
      <c r="AP53" s="106">
        <f t="shared" si="16"/>
        <v>0.0756</v>
      </c>
      <c r="AQ53" s="107">
        <f t="shared" si="29"/>
        <v>0.0132</v>
      </c>
      <c r="AR53" s="105">
        <f t="shared" si="30"/>
        <v>1.52609575324703</v>
      </c>
      <c r="AS53" s="106">
        <f t="shared" si="31"/>
        <v>18.4</v>
      </c>
      <c r="AT53" s="107">
        <f t="shared" si="32"/>
        <v>92.3412204169583</v>
      </c>
    </row>
    <row r="54" spans="17:46">
      <c r="Q54">
        <v>47</v>
      </c>
      <c r="R54" s="105">
        <f t="shared" si="0"/>
        <v>20</v>
      </c>
      <c r="S54" s="106">
        <f t="shared" si="34"/>
        <v>0.94</v>
      </c>
      <c r="T54" s="106">
        <f t="shared" si="2"/>
        <v>4</v>
      </c>
      <c r="U54" s="107">
        <f t="shared" si="35"/>
        <v>4.7</v>
      </c>
      <c r="V54" s="105">
        <f t="shared" si="36"/>
        <v>2</v>
      </c>
      <c r="W54" s="106">
        <f t="shared" si="37"/>
        <v>0.833333333333333</v>
      </c>
      <c r="X54" s="107">
        <f t="shared" si="38"/>
        <v>0.166666666666667</v>
      </c>
      <c r="Y54" s="105">
        <f t="shared" si="18"/>
        <v>0.476190476190476</v>
      </c>
      <c r="Z54" s="106">
        <f t="shared" si="33"/>
        <v>6.11619047619048</v>
      </c>
      <c r="AA54" s="106">
        <f t="shared" si="19"/>
        <v>4.70200983064348</v>
      </c>
      <c r="AB54" s="106">
        <v>0</v>
      </c>
      <c r="AC54" s="106">
        <f t="shared" si="20"/>
        <v>0.221088964474679</v>
      </c>
      <c r="AD54" s="107">
        <f t="shared" si="21"/>
        <v>0.221088964474679</v>
      </c>
      <c r="AE54" s="105">
        <f t="shared" si="22"/>
        <v>3.68166666666667</v>
      </c>
      <c r="AF54" s="106">
        <f t="shared" si="23"/>
        <v>4.70200983064348</v>
      </c>
      <c r="AG54" s="106">
        <f t="shared" si="39"/>
        <v>0.187925619803477</v>
      </c>
      <c r="AH54" s="106">
        <f t="shared" si="40"/>
        <v>0.762714129163848</v>
      </c>
      <c r="AI54" s="107">
        <f t="shared" si="24"/>
        <v>0.950639748967325</v>
      </c>
      <c r="AJ54" s="105">
        <f t="shared" si="25"/>
        <v>0.94</v>
      </c>
      <c r="AK54" s="106">
        <f t="shared" si="26"/>
        <v>2.4003784450091</v>
      </c>
      <c r="AL54" s="106">
        <f t="shared" si="27"/>
        <v>0.3055</v>
      </c>
      <c r="AM54" s="106">
        <f t="shared" si="41"/>
        <v>0</v>
      </c>
      <c r="AN54" s="107">
        <f t="shared" si="28"/>
        <v>0.3055</v>
      </c>
      <c r="AO54" s="105">
        <f t="shared" si="42"/>
        <v>0.221088964474679</v>
      </c>
      <c r="AP54" s="106">
        <f t="shared" si="16"/>
        <v>0.0756</v>
      </c>
      <c r="AQ54" s="107">
        <f t="shared" si="29"/>
        <v>0.0132</v>
      </c>
      <c r="AR54" s="105">
        <f t="shared" si="30"/>
        <v>1.566028713442</v>
      </c>
      <c r="AS54" s="106">
        <f t="shared" si="31"/>
        <v>18.8</v>
      </c>
      <c r="AT54" s="107">
        <f t="shared" si="32"/>
        <v>92.3105837889328</v>
      </c>
    </row>
    <row r="55" spans="17:46">
      <c r="Q55">
        <v>48</v>
      </c>
      <c r="R55" s="105">
        <f t="shared" si="0"/>
        <v>20</v>
      </c>
      <c r="S55" s="106">
        <f t="shared" si="34"/>
        <v>0.96</v>
      </c>
      <c r="T55" s="106">
        <f t="shared" si="2"/>
        <v>4</v>
      </c>
      <c r="U55" s="107">
        <f t="shared" si="35"/>
        <v>4.8</v>
      </c>
      <c r="V55" s="105">
        <f t="shared" si="36"/>
        <v>2</v>
      </c>
      <c r="W55" s="106">
        <f t="shared" si="37"/>
        <v>0.833333333333333</v>
      </c>
      <c r="X55" s="107">
        <f t="shared" si="38"/>
        <v>0.166666666666667</v>
      </c>
      <c r="Y55" s="105">
        <f t="shared" si="18"/>
        <v>0.476190476190476</v>
      </c>
      <c r="Z55" s="106">
        <f t="shared" si="33"/>
        <v>6.23619047619048</v>
      </c>
      <c r="AA55" s="106">
        <f t="shared" si="19"/>
        <v>4.8019679765142</v>
      </c>
      <c r="AB55" s="106">
        <v>0</v>
      </c>
      <c r="AC55" s="106">
        <f t="shared" si="20"/>
        <v>0.230588964474679</v>
      </c>
      <c r="AD55" s="107">
        <f t="shared" si="21"/>
        <v>0.230588964474679</v>
      </c>
      <c r="AE55" s="105">
        <f t="shared" si="22"/>
        <v>3.84</v>
      </c>
      <c r="AF55" s="106">
        <f t="shared" si="23"/>
        <v>4.8019679765142</v>
      </c>
      <c r="AG55" s="106">
        <f t="shared" si="39"/>
        <v>0.196000619803477</v>
      </c>
      <c r="AH55" s="106">
        <f t="shared" si="40"/>
        <v>0.778942089358823</v>
      </c>
      <c r="AI55" s="107">
        <f t="shared" si="24"/>
        <v>0.9749427091623</v>
      </c>
      <c r="AJ55" s="105">
        <f t="shared" si="25"/>
        <v>0.96</v>
      </c>
      <c r="AK55" s="106">
        <f t="shared" si="26"/>
        <v>2.44935511692121</v>
      </c>
      <c r="AL55" s="106">
        <f t="shared" si="27"/>
        <v>0.312</v>
      </c>
      <c r="AM55" s="106">
        <f t="shared" si="41"/>
        <v>0</v>
      </c>
      <c r="AN55" s="107">
        <f t="shared" si="28"/>
        <v>0.312</v>
      </c>
      <c r="AO55" s="105">
        <f t="shared" si="42"/>
        <v>0.230588964474679</v>
      </c>
      <c r="AP55" s="106">
        <f t="shared" si="16"/>
        <v>0.0756</v>
      </c>
      <c r="AQ55" s="107">
        <f t="shared" si="29"/>
        <v>0.0132</v>
      </c>
      <c r="AR55" s="105">
        <f t="shared" si="30"/>
        <v>1.60633167363698</v>
      </c>
      <c r="AS55" s="106">
        <f t="shared" si="31"/>
        <v>19.2</v>
      </c>
      <c r="AT55" s="107">
        <f t="shared" si="32"/>
        <v>92.2796017153167</v>
      </c>
    </row>
    <row r="56" spans="17:46">
      <c r="Q56">
        <v>49</v>
      </c>
      <c r="R56" s="105">
        <f t="shared" si="0"/>
        <v>20</v>
      </c>
      <c r="S56" s="106">
        <f t="shared" si="34"/>
        <v>0.98</v>
      </c>
      <c r="T56" s="106">
        <f t="shared" si="2"/>
        <v>4</v>
      </c>
      <c r="U56" s="107">
        <f t="shared" si="35"/>
        <v>4.9</v>
      </c>
      <c r="V56" s="105">
        <f t="shared" si="36"/>
        <v>2</v>
      </c>
      <c r="W56" s="106">
        <f t="shared" si="37"/>
        <v>0.833333333333333</v>
      </c>
      <c r="X56" s="107">
        <f t="shared" si="38"/>
        <v>0.166666666666667</v>
      </c>
      <c r="Y56" s="105">
        <f t="shared" si="18"/>
        <v>0.476190476190476</v>
      </c>
      <c r="Z56" s="106">
        <f t="shared" si="33"/>
        <v>6.35619047619048</v>
      </c>
      <c r="AA56" s="106">
        <f t="shared" si="19"/>
        <v>4.90192782968781</v>
      </c>
      <c r="AB56" s="106">
        <v>0</v>
      </c>
      <c r="AC56" s="106">
        <f t="shared" si="20"/>
        <v>0.240288964474679</v>
      </c>
      <c r="AD56" s="107">
        <f t="shared" si="21"/>
        <v>0.240288964474679</v>
      </c>
      <c r="AE56" s="105">
        <f t="shared" si="22"/>
        <v>4.00166666666667</v>
      </c>
      <c r="AF56" s="106">
        <f t="shared" si="23"/>
        <v>4.90192782968781</v>
      </c>
      <c r="AG56" s="106">
        <f t="shared" si="39"/>
        <v>0.204245619803477</v>
      </c>
      <c r="AH56" s="106">
        <f t="shared" si="40"/>
        <v>0.795170049553799</v>
      </c>
      <c r="AI56" s="107">
        <f t="shared" si="24"/>
        <v>0.999415669357276</v>
      </c>
      <c r="AJ56" s="105">
        <f t="shared" si="25"/>
        <v>0.98</v>
      </c>
      <c r="AK56" s="106">
        <f t="shared" si="26"/>
        <v>2.49833230342001</v>
      </c>
      <c r="AL56" s="106">
        <f t="shared" si="27"/>
        <v>0.3185</v>
      </c>
      <c r="AM56" s="106">
        <f t="shared" si="41"/>
        <v>0</v>
      </c>
      <c r="AN56" s="107">
        <f t="shared" si="28"/>
        <v>0.3185</v>
      </c>
      <c r="AO56" s="105">
        <f t="shared" si="42"/>
        <v>0.240288964474679</v>
      </c>
      <c r="AP56" s="106">
        <f t="shared" si="16"/>
        <v>0.0756</v>
      </c>
      <c r="AQ56" s="107">
        <f t="shared" si="29"/>
        <v>0.0132</v>
      </c>
      <c r="AR56" s="105">
        <f t="shared" si="30"/>
        <v>1.64700463383195</v>
      </c>
      <c r="AS56" s="106">
        <f t="shared" si="31"/>
        <v>19.6</v>
      </c>
      <c r="AT56" s="107">
        <f t="shared" si="32"/>
        <v>92.2482972907654</v>
      </c>
    </row>
    <row r="57" spans="17:46">
      <c r="Q57">
        <v>50</v>
      </c>
      <c r="R57" s="105">
        <f t="shared" si="0"/>
        <v>20</v>
      </c>
      <c r="S57" s="106">
        <f t="shared" si="34"/>
        <v>1</v>
      </c>
      <c r="T57" s="106">
        <f t="shared" si="2"/>
        <v>4</v>
      </c>
      <c r="U57" s="107">
        <f t="shared" si="35"/>
        <v>5</v>
      </c>
      <c r="V57" s="105">
        <f t="shared" si="36"/>
        <v>2</v>
      </c>
      <c r="W57" s="106">
        <f t="shared" si="37"/>
        <v>0.833333333333333</v>
      </c>
      <c r="X57" s="107">
        <f t="shared" si="38"/>
        <v>0.166666666666667</v>
      </c>
      <c r="Y57" s="105">
        <f t="shared" si="18"/>
        <v>0.476190476190476</v>
      </c>
      <c r="Z57" s="106">
        <f t="shared" si="33"/>
        <v>6.47619047619048</v>
      </c>
      <c r="AA57" s="106">
        <f t="shared" si="19"/>
        <v>5.00188928780595</v>
      </c>
      <c r="AB57" s="106">
        <v>0</v>
      </c>
      <c r="AC57" s="106">
        <f t="shared" si="20"/>
        <v>0.250188964474679</v>
      </c>
      <c r="AD57" s="107">
        <f t="shared" si="21"/>
        <v>0.250188964474679</v>
      </c>
      <c r="AE57" s="105">
        <f t="shared" si="22"/>
        <v>4.16666666666667</v>
      </c>
      <c r="AF57" s="106">
        <f t="shared" si="23"/>
        <v>5.00188928780595</v>
      </c>
      <c r="AG57" s="106">
        <f t="shared" si="39"/>
        <v>0.212660619803477</v>
      </c>
      <c r="AH57" s="106">
        <f t="shared" si="40"/>
        <v>0.811398009748774</v>
      </c>
      <c r="AI57" s="107">
        <f t="shared" si="24"/>
        <v>1.02405862955225</v>
      </c>
      <c r="AJ57" s="105">
        <f t="shared" si="25"/>
        <v>1</v>
      </c>
      <c r="AK57" s="106">
        <f t="shared" si="26"/>
        <v>2.54730997482358</v>
      </c>
      <c r="AL57" s="106">
        <f t="shared" si="27"/>
        <v>0.325</v>
      </c>
      <c r="AM57" s="106">
        <f t="shared" si="41"/>
        <v>0</v>
      </c>
      <c r="AN57" s="107">
        <f t="shared" si="28"/>
        <v>0.325</v>
      </c>
      <c r="AO57" s="105">
        <f t="shared" si="42"/>
        <v>0.250188964474679</v>
      </c>
      <c r="AP57" s="106">
        <f t="shared" si="16"/>
        <v>0.0756</v>
      </c>
      <c r="AQ57" s="107">
        <f t="shared" si="29"/>
        <v>0.0132</v>
      </c>
      <c r="AR57" s="105">
        <f t="shared" si="30"/>
        <v>1.68804759402693</v>
      </c>
      <c r="AS57" s="106">
        <f t="shared" si="31"/>
        <v>20</v>
      </c>
      <c r="AT57" s="107">
        <f t="shared" si="32"/>
        <v>92.2166917667046</v>
      </c>
    </row>
    <row r="58" spans="17:46">
      <c r="Q58">
        <v>51</v>
      </c>
      <c r="R58" s="105">
        <f t="shared" si="0"/>
        <v>20</v>
      </c>
      <c r="S58" s="106">
        <f t="shared" si="34"/>
        <v>1.02</v>
      </c>
      <c r="T58" s="106">
        <f t="shared" si="2"/>
        <v>4</v>
      </c>
      <c r="U58" s="107">
        <f t="shared" si="35"/>
        <v>5.1</v>
      </c>
      <c r="V58" s="105">
        <f t="shared" si="36"/>
        <v>2</v>
      </c>
      <c r="W58" s="106">
        <f t="shared" si="37"/>
        <v>0.833333333333333</v>
      </c>
      <c r="X58" s="107">
        <f t="shared" si="38"/>
        <v>0.166666666666667</v>
      </c>
      <c r="Y58" s="105">
        <f t="shared" si="18"/>
        <v>0.476190476190476</v>
      </c>
      <c r="Z58" s="106">
        <f t="shared" si="33"/>
        <v>6.59619047619048</v>
      </c>
      <c r="AA58" s="106">
        <f t="shared" si="19"/>
        <v>5.10185225653075</v>
      </c>
      <c r="AB58" s="106">
        <v>0</v>
      </c>
      <c r="AC58" s="106">
        <f t="shared" si="20"/>
        <v>0.260288964474679</v>
      </c>
      <c r="AD58" s="107">
        <f t="shared" si="21"/>
        <v>0.260288964474679</v>
      </c>
      <c r="AE58" s="105">
        <f t="shared" si="22"/>
        <v>4.335</v>
      </c>
      <c r="AF58" s="106">
        <f t="shared" si="23"/>
        <v>5.10185225653075</v>
      </c>
      <c r="AG58" s="106">
        <f t="shared" si="39"/>
        <v>0.221245619803477</v>
      </c>
      <c r="AH58" s="106">
        <f t="shared" si="40"/>
        <v>0.827625969943749</v>
      </c>
      <c r="AI58" s="107">
        <f t="shared" si="24"/>
        <v>1.04887158974723</v>
      </c>
      <c r="AJ58" s="105">
        <f t="shared" si="25"/>
        <v>1.02</v>
      </c>
      <c r="AK58" s="106">
        <f t="shared" si="26"/>
        <v>2.59628810368948</v>
      </c>
      <c r="AL58" s="106">
        <f t="shared" si="27"/>
        <v>0.3315</v>
      </c>
      <c r="AM58" s="106">
        <f t="shared" si="41"/>
        <v>0</v>
      </c>
      <c r="AN58" s="107">
        <f t="shared" si="28"/>
        <v>0.3315</v>
      </c>
      <c r="AO58" s="105">
        <f t="shared" si="42"/>
        <v>0.260288964474679</v>
      </c>
      <c r="AP58" s="106">
        <f t="shared" si="16"/>
        <v>0.0756</v>
      </c>
      <c r="AQ58" s="107">
        <f t="shared" si="29"/>
        <v>0.0132</v>
      </c>
      <c r="AR58" s="105">
        <f t="shared" si="30"/>
        <v>1.72946055422191</v>
      </c>
      <c r="AS58" s="106">
        <f t="shared" si="31"/>
        <v>20.4</v>
      </c>
      <c r="AT58" s="107">
        <f t="shared" si="32"/>
        <v>92.1848047313022</v>
      </c>
    </row>
    <row r="59" spans="17:46">
      <c r="Q59">
        <v>52</v>
      </c>
      <c r="R59" s="105">
        <f t="shared" si="0"/>
        <v>20</v>
      </c>
      <c r="S59" s="106">
        <f t="shared" si="34"/>
        <v>1.04</v>
      </c>
      <c r="T59" s="106">
        <f t="shared" si="2"/>
        <v>4</v>
      </c>
      <c r="U59" s="107">
        <f t="shared" si="35"/>
        <v>5.2</v>
      </c>
      <c r="V59" s="105">
        <f t="shared" si="36"/>
        <v>2</v>
      </c>
      <c r="W59" s="106">
        <f t="shared" si="37"/>
        <v>0.833333333333333</v>
      </c>
      <c r="X59" s="107">
        <f t="shared" si="38"/>
        <v>0.166666666666667</v>
      </c>
      <c r="Y59" s="105">
        <f t="shared" si="18"/>
        <v>0.476190476190476</v>
      </c>
      <c r="Z59" s="106">
        <f t="shared" si="33"/>
        <v>6.71619047619048</v>
      </c>
      <c r="AA59" s="106">
        <f t="shared" si="19"/>
        <v>5.20181664877453</v>
      </c>
      <c r="AB59" s="106">
        <v>0</v>
      </c>
      <c r="AC59" s="106">
        <f t="shared" si="20"/>
        <v>0.270588964474679</v>
      </c>
      <c r="AD59" s="107">
        <f t="shared" si="21"/>
        <v>0.270588964474679</v>
      </c>
      <c r="AE59" s="105">
        <f t="shared" si="22"/>
        <v>4.50666666666667</v>
      </c>
      <c r="AF59" s="106">
        <f t="shared" si="23"/>
        <v>5.20181664877453</v>
      </c>
      <c r="AG59" s="106">
        <f t="shared" si="39"/>
        <v>0.230000619803477</v>
      </c>
      <c r="AH59" s="106">
        <f t="shared" si="40"/>
        <v>0.843853930138725</v>
      </c>
      <c r="AI59" s="107">
        <f t="shared" si="24"/>
        <v>1.0738545499422</v>
      </c>
      <c r="AJ59" s="105">
        <f t="shared" si="25"/>
        <v>1.04</v>
      </c>
      <c r="AK59" s="106">
        <f t="shared" si="26"/>
        <v>2.64526666460744</v>
      </c>
      <c r="AL59" s="106">
        <f t="shared" si="27"/>
        <v>0.338</v>
      </c>
      <c r="AM59" s="106">
        <f t="shared" si="41"/>
        <v>0</v>
      </c>
      <c r="AN59" s="107">
        <f t="shared" si="28"/>
        <v>0.338</v>
      </c>
      <c r="AO59" s="105">
        <f t="shared" si="42"/>
        <v>0.270588964474679</v>
      </c>
      <c r="AP59" s="106">
        <f t="shared" si="16"/>
        <v>0.0756</v>
      </c>
      <c r="AQ59" s="107">
        <f t="shared" si="29"/>
        <v>0.0132</v>
      </c>
      <c r="AR59" s="105">
        <f t="shared" si="30"/>
        <v>1.77124351441688</v>
      </c>
      <c r="AS59" s="106">
        <f t="shared" si="31"/>
        <v>20.8</v>
      </c>
      <c r="AT59" s="107">
        <f t="shared" si="32"/>
        <v>92.1526542687578</v>
      </c>
    </row>
    <row r="60" spans="17:46">
      <c r="Q60">
        <v>53</v>
      </c>
      <c r="R60" s="105">
        <f t="shared" si="0"/>
        <v>20</v>
      </c>
      <c r="S60" s="106">
        <f t="shared" si="34"/>
        <v>1.06</v>
      </c>
      <c r="T60" s="106">
        <f t="shared" si="2"/>
        <v>4</v>
      </c>
      <c r="U60" s="107">
        <f t="shared" si="35"/>
        <v>5.3</v>
      </c>
      <c r="V60" s="105">
        <f t="shared" si="36"/>
        <v>2</v>
      </c>
      <c r="W60" s="106">
        <f t="shared" si="37"/>
        <v>0.833333333333333</v>
      </c>
      <c r="X60" s="107">
        <f t="shared" si="38"/>
        <v>0.166666666666667</v>
      </c>
      <c r="Y60" s="105">
        <f t="shared" si="18"/>
        <v>0.476190476190476</v>
      </c>
      <c r="Z60" s="106">
        <f t="shared" si="33"/>
        <v>6.83619047619048</v>
      </c>
      <c r="AA60" s="106">
        <f t="shared" si="19"/>
        <v>5.30178238401652</v>
      </c>
      <c r="AB60" s="106">
        <v>0</v>
      </c>
      <c r="AC60" s="106">
        <f t="shared" si="20"/>
        <v>0.281088964474679</v>
      </c>
      <c r="AD60" s="107">
        <f t="shared" si="21"/>
        <v>0.281088964474679</v>
      </c>
      <c r="AE60" s="105">
        <f t="shared" si="22"/>
        <v>4.68166666666667</v>
      </c>
      <c r="AF60" s="106">
        <f t="shared" si="23"/>
        <v>5.30178238401652</v>
      </c>
      <c r="AG60" s="106">
        <f t="shared" si="39"/>
        <v>0.238925619803477</v>
      </c>
      <c r="AH60" s="106">
        <f t="shared" si="40"/>
        <v>0.860081890333701</v>
      </c>
      <c r="AI60" s="107">
        <f t="shared" si="24"/>
        <v>1.09900751013718</v>
      </c>
      <c r="AJ60" s="105">
        <f t="shared" si="25"/>
        <v>1.06</v>
      </c>
      <c r="AK60" s="106">
        <f t="shared" si="26"/>
        <v>2.69424563401468</v>
      </c>
      <c r="AL60" s="106">
        <f t="shared" si="27"/>
        <v>0.3445</v>
      </c>
      <c r="AM60" s="106">
        <f t="shared" si="41"/>
        <v>0</v>
      </c>
      <c r="AN60" s="107">
        <f t="shared" si="28"/>
        <v>0.3445</v>
      </c>
      <c r="AO60" s="105">
        <f t="shared" si="42"/>
        <v>0.281088964474679</v>
      </c>
      <c r="AP60" s="106">
        <f t="shared" si="16"/>
        <v>0.0756</v>
      </c>
      <c r="AQ60" s="107">
        <f t="shared" si="29"/>
        <v>0.0132</v>
      </c>
      <c r="AR60" s="105">
        <f t="shared" si="30"/>
        <v>1.81339647461186</v>
      </c>
      <c r="AS60" s="106">
        <f t="shared" si="31"/>
        <v>21.2</v>
      </c>
      <c r="AT60" s="107">
        <f t="shared" si="32"/>
        <v>92.120257100631</v>
      </c>
    </row>
    <row r="61" spans="17:46">
      <c r="Q61">
        <v>54</v>
      </c>
      <c r="R61" s="105">
        <f t="shared" si="0"/>
        <v>20</v>
      </c>
      <c r="S61" s="106">
        <f t="shared" si="34"/>
        <v>1.08</v>
      </c>
      <c r="T61" s="106">
        <f t="shared" si="2"/>
        <v>4</v>
      </c>
      <c r="U61" s="107">
        <f t="shared" si="35"/>
        <v>5.4</v>
      </c>
      <c r="V61" s="105">
        <f t="shared" si="36"/>
        <v>2</v>
      </c>
      <c r="W61" s="106">
        <f t="shared" si="37"/>
        <v>0.833333333333333</v>
      </c>
      <c r="X61" s="107">
        <f t="shared" si="38"/>
        <v>0.166666666666667</v>
      </c>
      <c r="Y61" s="105">
        <f t="shared" si="18"/>
        <v>0.476190476190476</v>
      </c>
      <c r="Z61" s="106">
        <f t="shared" si="33"/>
        <v>6.95619047619048</v>
      </c>
      <c r="AA61" s="106">
        <f t="shared" si="19"/>
        <v>5.40174938769542</v>
      </c>
      <c r="AB61" s="106">
        <v>0</v>
      </c>
      <c r="AC61" s="106">
        <f t="shared" si="20"/>
        <v>0.291788964474679</v>
      </c>
      <c r="AD61" s="107">
        <f t="shared" si="21"/>
        <v>0.291788964474679</v>
      </c>
      <c r="AE61" s="105">
        <f t="shared" si="22"/>
        <v>4.86</v>
      </c>
      <c r="AF61" s="106">
        <f t="shared" si="23"/>
        <v>5.40174938769542</v>
      </c>
      <c r="AG61" s="106">
        <f t="shared" si="39"/>
        <v>0.248020619803477</v>
      </c>
      <c r="AH61" s="106">
        <f t="shared" si="40"/>
        <v>0.876309850528676</v>
      </c>
      <c r="AI61" s="107">
        <f t="shared" si="24"/>
        <v>1.12433047033215</v>
      </c>
      <c r="AJ61" s="105">
        <f t="shared" si="25"/>
        <v>1.08</v>
      </c>
      <c r="AK61" s="106">
        <f t="shared" si="26"/>
        <v>2.74322499003107</v>
      </c>
      <c r="AL61" s="106">
        <f t="shared" si="27"/>
        <v>0.351</v>
      </c>
      <c r="AM61" s="106">
        <f t="shared" si="41"/>
        <v>0</v>
      </c>
      <c r="AN61" s="107">
        <f t="shared" si="28"/>
        <v>0.351</v>
      </c>
      <c r="AO61" s="105">
        <f t="shared" si="42"/>
        <v>0.291788964474679</v>
      </c>
      <c r="AP61" s="106">
        <f t="shared" si="16"/>
        <v>0.0756</v>
      </c>
      <c r="AQ61" s="107">
        <f t="shared" si="29"/>
        <v>0.0132</v>
      </c>
      <c r="AR61" s="105">
        <f t="shared" si="30"/>
        <v>1.85591943480683</v>
      </c>
      <c r="AS61" s="106">
        <f t="shared" si="31"/>
        <v>21.6</v>
      </c>
      <c r="AT61" s="107">
        <f t="shared" si="32"/>
        <v>92.0876287115278</v>
      </c>
    </row>
    <row r="62" spans="17:46">
      <c r="Q62">
        <v>55</v>
      </c>
      <c r="R62" s="105">
        <f t="shared" si="0"/>
        <v>20</v>
      </c>
      <c r="S62" s="106">
        <f t="shared" si="34"/>
        <v>1.1</v>
      </c>
      <c r="T62" s="106">
        <f t="shared" si="2"/>
        <v>4</v>
      </c>
      <c r="U62" s="107">
        <f t="shared" si="35"/>
        <v>5.5</v>
      </c>
      <c r="V62" s="105">
        <f t="shared" si="36"/>
        <v>2</v>
      </c>
      <c r="W62" s="106">
        <f t="shared" si="37"/>
        <v>0.833333333333333</v>
      </c>
      <c r="X62" s="107">
        <f t="shared" si="38"/>
        <v>0.166666666666667</v>
      </c>
      <c r="Y62" s="105">
        <f t="shared" si="18"/>
        <v>0.476190476190476</v>
      </c>
      <c r="Z62" s="106">
        <f t="shared" si="33"/>
        <v>7.07619047619048</v>
      </c>
      <c r="AA62" s="106">
        <f t="shared" si="19"/>
        <v>5.5017175906682</v>
      </c>
      <c r="AB62" s="106">
        <v>0</v>
      </c>
      <c r="AC62" s="106">
        <f t="shared" si="20"/>
        <v>0.302688964474679</v>
      </c>
      <c r="AD62" s="107">
        <f t="shared" si="21"/>
        <v>0.302688964474679</v>
      </c>
      <c r="AE62" s="105">
        <f t="shared" si="22"/>
        <v>5.04166666666667</v>
      </c>
      <c r="AF62" s="106">
        <f t="shared" si="23"/>
        <v>5.5017175906682</v>
      </c>
      <c r="AG62" s="106">
        <f t="shared" si="39"/>
        <v>0.257285619803477</v>
      </c>
      <c r="AH62" s="106">
        <f t="shared" si="40"/>
        <v>0.892537810723651</v>
      </c>
      <c r="AI62" s="107">
        <f t="shared" si="24"/>
        <v>1.14982343052713</v>
      </c>
      <c r="AJ62" s="105">
        <f t="shared" si="25"/>
        <v>1.1</v>
      </c>
      <c r="AK62" s="106">
        <f t="shared" si="26"/>
        <v>2.79220471231154</v>
      </c>
      <c r="AL62" s="106">
        <f t="shared" si="27"/>
        <v>0.3575</v>
      </c>
      <c r="AM62" s="106">
        <f t="shared" si="41"/>
        <v>0</v>
      </c>
      <c r="AN62" s="107">
        <f t="shared" si="28"/>
        <v>0.3575</v>
      </c>
      <c r="AO62" s="105">
        <f t="shared" si="42"/>
        <v>0.302688964474679</v>
      </c>
      <c r="AP62" s="106">
        <f t="shared" si="16"/>
        <v>0.0756</v>
      </c>
      <c r="AQ62" s="107">
        <f t="shared" si="29"/>
        <v>0.0132</v>
      </c>
      <c r="AR62" s="105">
        <f t="shared" si="30"/>
        <v>1.89881239500181</v>
      </c>
      <c r="AS62" s="106">
        <f t="shared" si="31"/>
        <v>22</v>
      </c>
      <c r="AT62" s="107">
        <f t="shared" si="32"/>
        <v>92.0547834611274</v>
      </c>
    </row>
    <row r="63" spans="17:46">
      <c r="Q63">
        <v>56</v>
      </c>
      <c r="R63" s="105">
        <f t="shared" si="0"/>
        <v>20</v>
      </c>
      <c r="S63" s="106">
        <f t="shared" si="34"/>
        <v>1.12</v>
      </c>
      <c r="T63" s="106">
        <f t="shared" si="2"/>
        <v>4</v>
      </c>
      <c r="U63" s="107">
        <f t="shared" si="35"/>
        <v>5.6</v>
      </c>
      <c r="V63" s="105">
        <f t="shared" si="36"/>
        <v>2</v>
      </c>
      <c r="W63" s="106">
        <f t="shared" si="37"/>
        <v>0.833333333333333</v>
      </c>
      <c r="X63" s="107">
        <f t="shared" si="38"/>
        <v>0.166666666666667</v>
      </c>
      <c r="Y63" s="105">
        <f t="shared" si="18"/>
        <v>0.476190476190476</v>
      </c>
      <c r="Z63" s="106">
        <f t="shared" si="33"/>
        <v>7.19619047619048</v>
      </c>
      <c r="AA63" s="106">
        <f t="shared" si="19"/>
        <v>5.60168692872673</v>
      </c>
      <c r="AB63" s="106">
        <v>0</v>
      </c>
      <c r="AC63" s="106">
        <f t="shared" si="20"/>
        <v>0.313788964474679</v>
      </c>
      <c r="AD63" s="107">
        <f t="shared" si="21"/>
        <v>0.313788964474679</v>
      </c>
      <c r="AE63" s="105">
        <f t="shared" si="22"/>
        <v>5.22666666666667</v>
      </c>
      <c r="AF63" s="106">
        <f t="shared" si="23"/>
        <v>5.60168692872673</v>
      </c>
      <c r="AG63" s="106">
        <f t="shared" si="39"/>
        <v>0.266720619803477</v>
      </c>
      <c r="AH63" s="106">
        <f t="shared" si="40"/>
        <v>0.908765770918627</v>
      </c>
      <c r="AI63" s="107">
        <f t="shared" si="24"/>
        <v>1.1754863907221</v>
      </c>
      <c r="AJ63" s="105">
        <f t="shared" si="25"/>
        <v>1.12</v>
      </c>
      <c r="AK63" s="106">
        <f t="shared" si="26"/>
        <v>2.8411847819138</v>
      </c>
      <c r="AL63" s="106">
        <f t="shared" si="27"/>
        <v>0.364</v>
      </c>
      <c r="AM63" s="106">
        <f t="shared" si="41"/>
        <v>0</v>
      </c>
      <c r="AN63" s="107">
        <f t="shared" si="28"/>
        <v>0.364</v>
      </c>
      <c r="AO63" s="105">
        <f t="shared" si="42"/>
        <v>0.313788964474679</v>
      </c>
      <c r="AP63" s="106">
        <f t="shared" si="16"/>
        <v>0.0756</v>
      </c>
      <c r="AQ63" s="107">
        <f t="shared" si="29"/>
        <v>0.0132</v>
      </c>
      <c r="AR63" s="105">
        <f t="shared" si="30"/>
        <v>1.94207535519678</v>
      </c>
      <c r="AS63" s="106">
        <f t="shared" si="31"/>
        <v>22.4</v>
      </c>
      <c r="AT63" s="107">
        <f t="shared" si="32"/>
        <v>92.0217346842525</v>
      </c>
    </row>
    <row r="64" spans="17:46">
      <c r="Q64">
        <v>57</v>
      </c>
      <c r="R64" s="105">
        <f t="shared" si="0"/>
        <v>20</v>
      </c>
      <c r="S64" s="106">
        <f t="shared" si="34"/>
        <v>1.14</v>
      </c>
      <c r="T64" s="106">
        <f t="shared" si="2"/>
        <v>4</v>
      </c>
      <c r="U64" s="107">
        <f t="shared" si="35"/>
        <v>5.7</v>
      </c>
      <c r="V64" s="105">
        <f t="shared" si="36"/>
        <v>2</v>
      </c>
      <c r="W64" s="106">
        <f t="shared" si="37"/>
        <v>0.833333333333333</v>
      </c>
      <c r="X64" s="107">
        <f t="shared" si="38"/>
        <v>0.166666666666667</v>
      </c>
      <c r="Y64" s="105">
        <f t="shared" si="18"/>
        <v>0.476190476190476</v>
      </c>
      <c r="Z64" s="106">
        <f t="shared" si="33"/>
        <v>7.31619047619048</v>
      </c>
      <c r="AA64" s="106">
        <f t="shared" si="19"/>
        <v>5.70165734216534</v>
      </c>
      <c r="AB64" s="106">
        <v>0</v>
      </c>
      <c r="AC64" s="106">
        <f t="shared" si="20"/>
        <v>0.325088964474679</v>
      </c>
      <c r="AD64" s="107">
        <f t="shared" si="21"/>
        <v>0.325088964474679</v>
      </c>
      <c r="AE64" s="105">
        <f t="shared" si="22"/>
        <v>5.415</v>
      </c>
      <c r="AF64" s="106">
        <f t="shared" si="23"/>
        <v>5.70165734216534</v>
      </c>
      <c r="AG64" s="106">
        <f t="shared" si="39"/>
        <v>0.276325619803477</v>
      </c>
      <c r="AH64" s="106">
        <f t="shared" si="40"/>
        <v>0.924993731113603</v>
      </c>
      <c r="AI64" s="107">
        <f t="shared" si="24"/>
        <v>1.20131935091708</v>
      </c>
      <c r="AJ64" s="105">
        <f t="shared" si="25"/>
        <v>1.14</v>
      </c>
      <c r="AK64" s="106">
        <f t="shared" si="26"/>
        <v>2.89016518117951</v>
      </c>
      <c r="AL64" s="106">
        <f t="shared" si="27"/>
        <v>0.3705</v>
      </c>
      <c r="AM64" s="106">
        <f t="shared" si="41"/>
        <v>0</v>
      </c>
      <c r="AN64" s="107">
        <f t="shared" si="28"/>
        <v>0.3705</v>
      </c>
      <c r="AO64" s="105">
        <f t="shared" si="42"/>
        <v>0.325088964474679</v>
      </c>
      <c r="AP64" s="106">
        <f t="shared" si="16"/>
        <v>0.0756</v>
      </c>
      <c r="AQ64" s="107">
        <f t="shared" si="29"/>
        <v>0.0132</v>
      </c>
      <c r="AR64" s="105">
        <f t="shared" si="30"/>
        <v>1.98570831539176</v>
      </c>
      <c r="AS64" s="106">
        <f t="shared" si="31"/>
        <v>22.8</v>
      </c>
      <c r="AT64" s="107">
        <f t="shared" si="32"/>
        <v>91.9884947804431</v>
      </c>
    </row>
    <row r="65" spans="17:46">
      <c r="Q65">
        <v>58</v>
      </c>
      <c r="R65" s="105">
        <f t="shared" si="0"/>
        <v>20</v>
      </c>
      <c r="S65" s="106">
        <f t="shared" si="34"/>
        <v>1.16</v>
      </c>
      <c r="T65" s="106">
        <f t="shared" si="2"/>
        <v>4</v>
      </c>
      <c r="U65" s="107">
        <f t="shared" si="35"/>
        <v>5.8</v>
      </c>
      <c r="V65" s="105">
        <f t="shared" si="36"/>
        <v>2</v>
      </c>
      <c r="W65" s="106">
        <f t="shared" si="37"/>
        <v>0.833333333333333</v>
      </c>
      <c r="X65" s="107">
        <f t="shared" si="38"/>
        <v>0.166666666666667</v>
      </c>
      <c r="Y65" s="105">
        <f t="shared" si="18"/>
        <v>0.476190476190476</v>
      </c>
      <c r="Z65" s="106">
        <f t="shared" si="33"/>
        <v>7.43619047619048</v>
      </c>
      <c r="AA65" s="106">
        <f t="shared" si="19"/>
        <v>5.80162877539298</v>
      </c>
      <c r="AB65" s="106">
        <v>0</v>
      </c>
      <c r="AC65" s="106">
        <f t="shared" si="20"/>
        <v>0.336588964474679</v>
      </c>
      <c r="AD65" s="107">
        <f t="shared" si="21"/>
        <v>0.336588964474679</v>
      </c>
      <c r="AE65" s="105">
        <f t="shared" si="22"/>
        <v>5.60666666666667</v>
      </c>
      <c r="AF65" s="106">
        <f t="shared" si="23"/>
        <v>5.80162877539298</v>
      </c>
      <c r="AG65" s="106">
        <f t="shared" si="39"/>
        <v>0.286100619803477</v>
      </c>
      <c r="AH65" s="106">
        <f t="shared" si="40"/>
        <v>0.941221691308578</v>
      </c>
      <c r="AI65" s="107">
        <f t="shared" si="24"/>
        <v>1.22732231111205</v>
      </c>
      <c r="AJ65" s="105">
        <f t="shared" si="25"/>
        <v>1.16</v>
      </c>
      <c r="AK65" s="106">
        <f t="shared" si="26"/>
        <v>2.9391458936273</v>
      </c>
      <c r="AL65" s="106">
        <f t="shared" si="27"/>
        <v>0.377</v>
      </c>
      <c r="AM65" s="106">
        <f t="shared" si="41"/>
        <v>0</v>
      </c>
      <c r="AN65" s="107">
        <f t="shared" si="28"/>
        <v>0.377</v>
      </c>
      <c r="AO65" s="105">
        <f t="shared" si="42"/>
        <v>0.336588964474679</v>
      </c>
      <c r="AP65" s="106">
        <f t="shared" si="16"/>
        <v>0.0756</v>
      </c>
      <c r="AQ65" s="107">
        <f t="shared" si="29"/>
        <v>0.0132</v>
      </c>
      <c r="AR65" s="105">
        <f t="shared" si="30"/>
        <v>2.02971127558673</v>
      </c>
      <c r="AS65" s="106">
        <f t="shared" si="31"/>
        <v>23.2</v>
      </c>
      <c r="AT65" s="107">
        <f t="shared" si="32"/>
        <v>91.9550752942989</v>
      </c>
    </row>
    <row r="66" spans="17:46">
      <c r="Q66">
        <v>59</v>
      </c>
      <c r="R66" s="105">
        <f t="shared" si="0"/>
        <v>20</v>
      </c>
      <c r="S66" s="106">
        <f t="shared" si="34"/>
        <v>1.18</v>
      </c>
      <c r="T66" s="106">
        <f t="shared" si="2"/>
        <v>4</v>
      </c>
      <c r="U66" s="107">
        <f t="shared" si="35"/>
        <v>5.9</v>
      </c>
      <c r="V66" s="105">
        <f t="shared" si="36"/>
        <v>2</v>
      </c>
      <c r="W66" s="106">
        <f t="shared" si="37"/>
        <v>0.833333333333333</v>
      </c>
      <c r="X66" s="107">
        <f t="shared" si="38"/>
        <v>0.166666666666667</v>
      </c>
      <c r="Y66" s="105">
        <f t="shared" si="18"/>
        <v>0.476190476190476</v>
      </c>
      <c r="Z66" s="106">
        <f t="shared" si="33"/>
        <v>7.55619047619048</v>
      </c>
      <c r="AA66" s="106">
        <f t="shared" si="19"/>
        <v>5.90160117658487</v>
      </c>
      <c r="AB66" s="106">
        <v>0</v>
      </c>
      <c r="AC66" s="106">
        <f t="shared" si="20"/>
        <v>0.348288964474679</v>
      </c>
      <c r="AD66" s="107">
        <f t="shared" si="21"/>
        <v>0.348288964474679</v>
      </c>
      <c r="AE66" s="105">
        <f t="shared" si="22"/>
        <v>5.80166666666667</v>
      </c>
      <c r="AF66" s="106">
        <f t="shared" si="23"/>
        <v>5.90160117658487</v>
      </c>
      <c r="AG66" s="106">
        <f t="shared" si="39"/>
        <v>0.296045619803477</v>
      </c>
      <c r="AH66" s="106">
        <f t="shared" si="40"/>
        <v>0.957449651503553</v>
      </c>
      <c r="AI66" s="107">
        <f t="shared" si="24"/>
        <v>1.25349527130703</v>
      </c>
      <c r="AJ66" s="105">
        <f t="shared" si="25"/>
        <v>1.18</v>
      </c>
      <c r="AK66" s="106">
        <f t="shared" si="26"/>
        <v>2.98812690385633</v>
      </c>
      <c r="AL66" s="106">
        <f t="shared" si="27"/>
        <v>0.3835</v>
      </c>
      <c r="AM66" s="106">
        <f t="shared" si="41"/>
        <v>0</v>
      </c>
      <c r="AN66" s="107">
        <f t="shared" si="28"/>
        <v>0.3835</v>
      </c>
      <c r="AO66" s="105">
        <f t="shared" si="42"/>
        <v>0.348288964474679</v>
      </c>
      <c r="AP66" s="106">
        <f t="shared" si="16"/>
        <v>0.0756</v>
      </c>
      <c r="AQ66" s="107">
        <f t="shared" si="29"/>
        <v>0.0132</v>
      </c>
      <c r="AR66" s="105">
        <f t="shared" si="30"/>
        <v>2.07408423578171</v>
      </c>
      <c r="AS66" s="106">
        <f t="shared" si="31"/>
        <v>23.6</v>
      </c>
      <c r="AT66" s="107">
        <f t="shared" si="32"/>
        <v>91.9214869876797</v>
      </c>
    </row>
    <row r="67" spans="17:46">
      <c r="Q67">
        <v>60</v>
      </c>
      <c r="R67" s="105">
        <f t="shared" si="0"/>
        <v>20</v>
      </c>
      <c r="S67" s="106">
        <f t="shared" si="34"/>
        <v>1.2</v>
      </c>
      <c r="T67" s="106">
        <f t="shared" si="2"/>
        <v>4</v>
      </c>
      <c r="U67" s="107">
        <f t="shared" si="35"/>
        <v>6</v>
      </c>
      <c r="V67" s="105">
        <f t="shared" si="36"/>
        <v>2</v>
      </c>
      <c r="W67" s="106">
        <f t="shared" si="37"/>
        <v>0.833333333333333</v>
      </c>
      <c r="X67" s="107">
        <f t="shared" si="38"/>
        <v>0.166666666666667</v>
      </c>
      <c r="Y67" s="105">
        <f t="shared" si="18"/>
        <v>0.476190476190476</v>
      </c>
      <c r="Z67" s="106">
        <f t="shared" si="33"/>
        <v>7.67619047619048</v>
      </c>
      <c r="AA67" s="106">
        <f t="shared" si="19"/>
        <v>6.00157449736883</v>
      </c>
      <c r="AB67" s="106">
        <v>0</v>
      </c>
      <c r="AC67" s="106">
        <f t="shared" si="20"/>
        <v>0.360188964474679</v>
      </c>
      <c r="AD67" s="107">
        <f t="shared" si="21"/>
        <v>0.360188964474679</v>
      </c>
      <c r="AE67" s="105">
        <f t="shared" si="22"/>
        <v>6</v>
      </c>
      <c r="AF67" s="106">
        <f t="shared" si="23"/>
        <v>6.00157449736883</v>
      </c>
      <c r="AG67" s="106">
        <f t="shared" si="39"/>
        <v>0.306160619803477</v>
      </c>
      <c r="AH67" s="106">
        <f t="shared" si="40"/>
        <v>0.973677611698529</v>
      </c>
      <c r="AI67" s="107">
        <f t="shared" si="24"/>
        <v>1.27983823150201</v>
      </c>
      <c r="AJ67" s="105">
        <f t="shared" si="25"/>
        <v>1.2</v>
      </c>
      <c r="AK67" s="106">
        <f t="shared" si="26"/>
        <v>3.03710819745919</v>
      </c>
      <c r="AL67" s="106">
        <f t="shared" si="27"/>
        <v>0.39</v>
      </c>
      <c r="AM67" s="106">
        <f t="shared" si="41"/>
        <v>0</v>
      </c>
      <c r="AN67" s="107">
        <f t="shared" si="28"/>
        <v>0.39</v>
      </c>
      <c r="AO67" s="105">
        <f t="shared" si="42"/>
        <v>0.360188964474679</v>
      </c>
      <c r="AP67" s="106">
        <f t="shared" si="16"/>
        <v>0.0756</v>
      </c>
      <c r="AQ67" s="107">
        <f t="shared" si="29"/>
        <v>0.0132</v>
      </c>
      <c r="AR67" s="105">
        <f t="shared" si="30"/>
        <v>2.11882719597668</v>
      </c>
      <c r="AS67" s="106">
        <f t="shared" si="31"/>
        <v>24</v>
      </c>
      <c r="AT67" s="107">
        <f t="shared" si="32"/>
        <v>91.8877399047111</v>
      </c>
    </row>
    <row r="68" spans="17:46">
      <c r="Q68">
        <v>61</v>
      </c>
      <c r="R68" s="105">
        <f t="shared" si="0"/>
        <v>20</v>
      </c>
      <c r="S68" s="106">
        <f t="shared" si="34"/>
        <v>1.22</v>
      </c>
      <c r="T68" s="106">
        <f t="shared" si="2"/>
        <v>4</v>
      </c>
      <c r="U68" s="107">
        <f t="shared" si="35"/>
        <v>6.1</v>
      </c>
      <c r="V68" s="105">
        <f t="shared" si="36"/>
        <v>2</v>
      </c>
      <c r="W68" s="106">
        <f t="shared" si="37"/>
        <v>0.833333333333333</v>
      </c>
      <c r="X68" s="107">
        <f t="shared" si="38"/>
        <v>0.166666666666667</v>
      </c>
      <c r="Y68" s="105">
        <f t="shared" si="18"/>
        <v>0.476190476190476</v>
      </c>
      <c r="Z68" s="106">
        <f t="shared" si="33"/>
        <v>7.79619047619048</v>
      </c>
      <c r="AA68" s="106">
        <f t="shared" si="19"/>
        <v>6.10154869254256</v>
      </c>
      <c r="AB68" s="106">
        <v>0</v>
      </c>
      <c r="AC68" s="106">
        <f t="shared" si="20"/>
        <v>0.372288964474679</v>
      </c>
      <c r="AD68" s="107">
        <f t="shared" si="21"/>
        <v>0.372288964474679</v>
      </c>
      <c r="AE68" s="105">
        <f t="shared" si="22"/>
        <v>6.20166666666667</v>
      </c>
      <c r="AF68" s="106">
        <f t="shared" si="23"/>
        <v>6.10154869254256</v>
      </c>
      <c r="AG68" s="106">
        <f t="shared" si="39"/>
        <v>0.316445619803477</v>
      </c>
      <c r="AH68" s="106">
        <f t="shared" si="40"/>
        <v>0.989905571893504</v>
      </c>
      <c r="AI68" s="107">
        <f t="shared" si="24"/>
        <v>1.30635119169698</v>
      </c>
      <c r="AJ68" s="105">
        <f t="shared" si="25"/>
        <v>1.22</v>
      </c>
      <c r="AK68" s="106">
        <f t="shared" si="26"/>
        <v>3.08608976094307</v>
      </c>
      <c r="AL68" s="106">
        <f t="shared" si="27"/>
        <v>0.3965</v>
      </c>
      <c r="AM68" s="106">
        <f t="shared" si="41"/>
        <v>0</v>
      </c>
      <c r="AN68" s="107">
        <f t="shared" si="28"/>
        <v>0.3965</v>
      </c>
      <c r="AO68" s="105">
        <f t="shared" si="42"/>
        <v>0.372288964474679</v>
      </c>
      <c r="AP68" s="106">
        <f t="shared" si="16"/>
        <v>0.0756</v>
      </c>
      <c r="AQ68" s="107">
        <f t="shared" si="29"/>
        <v>0.0132</v>
      </c>
      <c r="AR68" s="105">
        <f t="shared" si="30"/>
        <v>2.16394015617166</v>
      </c>
      <c r="AS68" s="106">
        <f t="shared" si="31"/>
        <v>24.4</v>
      </c>
      <c r="AT68" s="107">
        <f t="shared" si="32"/>
        <v>91.8538434304186</v>
      </c>
    </row>
    <row r="69" spans="17:46">
      <c r="Q69">
        <v>62</v>
      </c>
      <c r="R69" s="105">
        <f t="shared" si="0"/>
        <v>20</v>
      </c>
      <c r="S69" s="106">
        <f t="shared" si="34"/>
        <v>1.24</v>
      </c>
      <c r="T69" s="106">
        <f t="shared" si="2"/>
        <v>4</v>
      </c>
      <c r="U69" s="107">
        <f t="shared" si="35"/>
        <v>6.2</v>
      </c>
      <c r="V69" s="105">
        <f t="shared" si="36"/>
        <v>2</v>
      </c>
      <c r="W69" s="106">
        <f t="shared" si="37"/>
        <v>0.833333333333333</v>
      </c>
      <c r="X69" s="107">
        <f t="shared" si="38"/>
        <v>0.166666666666667</v>
      </c>
      <c r="Y69" s="105">
        <f t="shared" si="18"/>
        <v>0.476190476190476</v>
      </c>
      <c r="Z69" s="106">
        <f t="shared" si="33"/>
        <v>7.91619047619048</v>
      </c>
      <c r="AA69" s="106">
        <f t="shared" si="19"/>
        <v>6.20152371981821</v>
      </c>
      <c r="AB69" s="106">
        <v>0</v>
      </c>
      <c r="AC69" s="106">
        <f t="shared" si="20"/>
        <v>0.384588964474679</v>
      </c>
      <c r="AD69" s="107">
        <f t="shared" si="21"/>
        <v>0.384588964474679</v>
      </c>
      <c r="AE69" s="105">
        <f t="shared" si="22"/>
        <v>6.40666666666667</v>
      </c>
      <c r="AF69" s="106">
        <f t="shared" si="23"/>
        <v>6.20152371981821</v>
      </c>
      <c r="AG69" s="106">
        <f t="shared" si="39"/>
        <v>0.326900619803477</v>
      </c>
      <c r="AH69" s="106">
        <f t="shared" si="40"/>
        <v>1.00613353208848</v>
      </c>
      <c r="AI69" s="107">
        <f t="shared" si="24"/>
        <v>1.33303415189196</v>
      </c>
      <c r="AJ69" s="105">
        <f t="shared" si="25"/>
        <v>1.24</v>
      </c>
      <c r="AK69" s="106">
        <f t="shared" si="26"/>
        <v>3.13507158165829</v>
      </c>
      <c r="AL69" s="106">
        <f t="shared" si="27"/>
        <v>0.403</v>
      </c>
      <c r="AM69" s="106">
        <f t="shared" si="41"/>
        <v>0</v>
      </c>
      <c r="AN69" s="107">
        <f t="shared" si="28"/>
        <v>0.403</v>
      </c>
      <c r="AO69" s="105">
        <f t="shared" si="42"/>
        <v>0.384588964474679</v>
      </c>
      <c r="AP69" s="106">
        <f t="shared" si="16"/>
        <v>0.0756</v>
      </c>
      <c r="AQ69" s="107">
        <f t="shared" si="29"/>
        <v>0.0132</v>
      </c>
      <c r="AR69" s="105">
        <f t="shared" si="30"/>
        <v>2.20942311636664</v>
      </c>
      <c r="AS69" s="106">
        <f t="shared" si="31"/>
        <v>24.8</v>
      </c>
      <c r="AT69" s="107">
        <f t="shared" si="32"/>
        <v>91.819806343706</v>
      </c>
    </row>
    <row r="70" spans="17:46">
      <c r="Q70">
        <v>63</v>
      </c>
      <c r="R70" s="105">
        <f t="shared" si="0"/>
        <v>20</v>
      </c>
      <c r="S70" s="106">
        <f t="shared" si="34"/>
        <v>1.26</v>
      </c>
      <c r="T70" s="106">
        <f t="shared" si="2"/>
        <v>4</v>
      </c>
      <c r="U70" s="107">
        <f t="shared" si="35"/>
        <v>6.3</v>
      </c>
      <c r="V70" s="105">
        <f t="shared" si="36"/>
        <v>2</v>
      </c>
      <c r="W70" s="106">
        <f t="shared" si="37"/>
        <v>0.833333333333333</v>
      </c>
      <c r="X70" s="107">
        <f t="shared" si="38"/>
        <v>0.166666666666667</v>
      </c>
      <c r="Y70" s="105">
        <f t="shared" si="18"/>
        <v>0.476190476190476</v>
      </c>
      <c r="Z70" s="106">
        <f t="shared" si="33"/>
        <v>8.03619047619047</v>
      </c>
      <c r="AA70" s="106">
        <f t="shared" si="19"/>
        <v>6.30149953959118</v>
      </c>
      <c r="AB70" s="106">
        <v>0</v>
      </c>
      <c r="AC70" s="106">
        <f t="shared" si="20"/>
        <v>0.397088964474679</v>
      </c>
      <c r="AD70" s="107">
        <f t="shared" si="21"/>
        <v>0.397088964474679</v>
      </c>
      <c r="AE70" s="105">
        <f t="shared" si="22"/>
        <v>6.615</v>
      </c>
      <c r="AF70" s="106">
        <f t="shared" si="23"/>
        <v>6.30149953959118</v>
      </c>
      <c r="AG70" s="106">
        <f t="shared" si="39"/>
        <v>0.337525619803477</v>
      </c>
      <c r="AH70" s="106">
        <f t="shared" si="40"/>
        <v>1.02236149228346</v>
      </c>
      <c r="AI70" s="107">
        <f t="shared" si="24"/>
        <v>1.35988711208693</v>
      </c>
      <c r="AJ70" s="105">
        <f t="shared" si="25"/>
        <v>1.26</v>
      </c>
      <c r="AK70" s="106">
        <f t="shared" si="26"/>
        <v>3.18405364773354</v>
      </c>
      <c r="AL70" s="106">
        <f t="shared" si="27"/>
        <v>0.4095</v>
      </c>
      <c r="AM70" s="106">
        <f t="shared" si="41"/>
        <v>0</v>
      </c>
      <c r="AN70" s="107">
        <f t="shared" si="28"/>
        <v>0.4095</v>
      </c>
      <c r="AO70" s="105">
        <f t="shared" si="42"/>
        <v>0.397088964474679</v>
      </c>
      <c r="AP70" s="106">
        <f t="shared" si="16"/>
        <v>0.0756</v>
      </c>
      <c r="AQ70" s="107">
        <f t="shared" si="29"/>
        <v>0.0132</v>
      </c>
      <c r="AR70" s="105">
        <f t="shared" si="30"/>
        <v>2.25527607656161</v>
      </c>
      <c r="AS70" s="106">
        <f t="shared" si="31"/>
        <v>25.2</v>
      </c>
      <c r="AT70" s="107">
        <f t="shared" si="32"/>
        <v>91.7856368653057</v>
      </c>
    </row>
    <row r="71" spans="17:46">
      <c r="Q71">
        <v>64</v>
      </c>
      <c r="R71" s="105">
        <f t="shared" ref="R71:R134" si="43">VOUT</f>
        <v>20</v>
      </c>
      <c r="S71" s="106">
        <f t="shared" ref="S71:S102" si="44">Q71*$O$12</f>
        <v>1.28</v>
      </c>
      <c r="T71" s="106">
        <f t="shared" ref="T71:T134" si="45">VIN_var</f>
        <v>4</v>
      </c>
      <c r="U71" s="107">
        <f t="shared" ref="U71:U102" si="46">(R71*S71)/(T71*EFF_est)</f>
        <v>6.4</v>
      </c>
      <c r="V71" s="105">
        <f t="shared" ref="V71:V102" si="47">IF(S71&lt;((T71^2)*R71)/(2*Fsw*Lm*((T71+R71)^2)),1,2)</f>
        <v>2</v>
      </c>
      <c r="W71" s="106">
        <f t="shared" ref="W71:W102" si="48">CHOOSE(V71,SQRT(2*Lm*R71*S71*Fsw)/T71,R71/(T71+R71))</f>
        <v>0.833333333333333</v>
      </c>
      <c r="X71" s="107">
        <f t="shared" ref="X71:X102" si="49">CHOOSE(V71,(Lm*Z71*Fsw)/(R71),1-W71)</f>
        <v>0.166666666666667</v>
      </c>
      <c r="Y71" s="105">
        <f t="shared" si="18"/>
        <v>0.476190476190476</v>
      </c>
      <c r="Z71" s="106">
        <f t="shared" si="33"/>
        <v>8.15619047619048</v>
      </c>
      <c r="AA71" s="106">
        <f t="shared" si="19"/>
        <v>6.40147611473072</v>
      </c>
      <c r="AB71" s="106">
        <v>0</v>
      </c>
      <c r="AC71" s="106">
        <f t="shared" si="20"/>
        <v>0.409788964474679</v>
      </c>
      <c r="AD71" s="107">
        <f t="shared" si="21"/>
        <v>0.409788964474679</v>
      </c>
      <c r="AE71" s="105">
        <f t="shared" si="22"/>
        <v>6.82666666666667</v>
      </c>
      <c r="AF71" s="106">
        <f t="shared" si="23"/>
        <v>6.40147611473072</v>
      </c>
      <c r="AG71" s="106">
        <f t="shared" ref="AG71:AG102" si="50">(AF71^2)*RDS_on</f>
        <v>0.348320619803477</v>
      </c>
      <c r="AH71" s="106">
        <f t="shared" ref="AH71:AH102" si="51">(((R71+T71)*(U71+S71))/2)*Fsw*(tr_sw+tf_sw)</f>
        <v>1.03858945247843</v>
      </c>
      <c r="AI71" s="107">
        <f t="shared" si="24"/>
        <v>1.38691007228191</v>
      </c>
      <c r="AJ71" s="105">
        <f t="shared" si="25"/>
        <v>1.28</v>
      </c>
      <c r="AK71" s="106">
        <f t="shared" si="26"/>
        <v>3.23303594801683</v>
      </c>
      <c r="AL71" s="106">
        <f t="shared" si="27"/>
        <v>0.416</v>
      </c>
      <c r="AM71" s="106">
        <f t="shared" ref="AM71:AM102" si="52">(R71+T71+Vd_rect)*Qrr*Fsw</f>
        <v>0</v>
      </c>
      <c r="AN71" s="107">
        <f t="shared" si="28"/>
        <v>0.416</v>
      </c>
      <c r="AO71" s="105">
        <f t="shared" ref="AO71:AO102" si="53">(AF71^2)*R_cs</f>
        <v>0.409788964474679</v>
      </c>
      <c r="AP71" s="106">
        <f t="shared" ref="AP71:AP134" si="54">Qg_tot*Vcc*Fsw</f>
        <v>0.0756</v>
      </c>
      <c r="AQ71" s="107">
        <f t="shared" si="29"/>
        <v>0.0132</v>
      </c>
      <c r="AR71" s="105">
        <f t="shared" si="30"/>
        <v>2.30149903675659</v>
      </c>
      <c r="AS71" s="106">
        <f t="shared" si="31"/>
        <v>25.6</v>
      </c>
      <c r="AT71" s="107">
        <f t="shared" si="32"/>
        <v>91.7513427012482</v>
      </c>
    </row>
    <row r="72" spans="17:46">
      <c r="Q72">
        <v>65</v>
      </c>
      <c r="R72" s="105">
        <f t="shared" si="43"/>
        <v>20</v>
      </c>
      <c r="S72" s="106">
        <f t="shared" si="44"/>
        <v>1.3</v>
      </c>
      <c r="T72" s="106">
        <f t="shared" si="45"/>
        <v>4</v>
      </c>
      <c r="U72" s="107">
        <f t="shared" si="46"/>
        <v>6.5</v>
      </c>
      <c r="V72" s="105">
        <f t="shared" si="47"/>
        <v>2</v>
      </c>
      <c r="W72" s="106">
        <f t="shared" si="48"/>
        <v>0.833333333333333</v>
      </c>
      <c r="X72" s="107">
        <f t="shared" si="49"/>
        <v>0.166666666666667</v>
      </c>
      <c r="Y72" s="105">
        <f t="shared" ref="Y72:Y135" si="55">(T72*W72)/(Lm*Fsw)</f>
        <v>0.476190476190476</v>
      </c>
      <c r="Z72" s="106">
        <f t="shared" ref="Z72:Z135" si="56">CHOOSE(V72,Y72,U72+S72+(Y72))</f>
        <v>8.27619047619048</v>
      </c>
      <c r="AA72" s="106">
        <f t="shared" ref="AA72:AA135" si="57">CHOOSE(V72,Z72*SQRT((W72+X72)/3),SQRT((U72^2)+((Y72^2)/12)))</f>
        <v>6.5014534103897</v>
      </c>
      <c r="AB72" s="106">
        <v>0</v>
      </c>
      <c r="AC72" s="106">
        <f t="shared" ref="AC72:AC135" si="58">(AA72^2)*Rdcr</f>
        <v>0.422688964474679</v>
      </c>
      <c r="AD72" s="107">
        <f t="shared" ref="AD72:AD135" si="59">AB72+AC72</f>
        <v>0.422688964474679</v>
      </c>
      <c r="AE72" s="105">
        <f t="shared" ref="AE72:AE135" si="60">U72*S72*W72</f>
        <v>7.04166666666667</v>
      </c>
      <c r="AF72" s="106">
        <f t="shared" ref="AF72:AF135" si="61">AA72</f>
        <v>6.5014534103897</v>
      </c>
      <c r="AG72" s="106">
        <f t="shared" si="50"/>
        <v>0.359285619803477</v>
      </c>
      <c r="AH72" s="106">
        <f t="shared" si="51"/>
        <v>1.05481741267341</v>
      </c>
      <c r="AI72" s="107">
        <f t="shared" ref="AI72:AI135" si="62">AG72+AH72</f>
        <v>1.41410303247688</v>
      </c>
      <c r="AJ72" s="105">
        <f t="shared" ref="AJ72:AJ135" si="63">S72</f>
        <v>1.3</v>
      </c>
      <c r="AK72" s="106">
        <f t="shared" ref="AK72:AK135" si="64">CHOOSE(V72,Z72*SQRT(X72/3),SQRT(X72*((Z72^2)+((Y72^2)/3)-(Y72*Z72))))</f>
        <v>3.28201847202188</v>
      </c>
      <c r="AL72" s="106">
        <f t="shared" ref="AL72:AL135" si="65">S72*Vd_rect</f>
        <v>0.4225</v>
      </c>
      <c r="AM72" s="106">
        <f t="shared" si="52"/>
        <v>0</v>
      </c>
      <c r="AN72" s="107">
        <f t="shared" ref="AN72:AN135" si="66">AL72+AM72</f>
        <v>0.4225</v>
      </c>
      <c r="AO72" s="105">
        <f t="shared" si="53"/>
        <v>0.422688964474679</v>
      </c>
      <c r="AP72" s="106">
        <f t="shared" si="54"/>
        <v>0.0756</v>
      </c>
      <c r="AQ72" s="107">
        <f t="shared" ref="AQ72:AQ135" si="67">IQ*T72</f>
        <v>0.0132</v>
      </c>
      <c r="AR72" s="105">
        <f t="shared" ref="AR72:AR135" si="68">AO72+AN72+AI72+AP72+AQ72</f>
        <v>2.34809199695156</v>
      </c>
      <c r="AS72" s="106">
        <f t="shared" ref="AS72:AS135" si="69">R72*S72</f>
        <v>26</v>
      </c>
      <c r="AT72" s="107">
        <f t="shared" ref="AT72:AT135" si="70">(AS72/(AS72+AR72))*100</f>
        <v>91.7169310823315</v>
      </c>
    </row>
    <row r="73" spans="17:46">
      <c r="Q73">
        <v>66</v>
      </c>
      <c r="R73" s="105">
        <f t="shared" si="43"/>
        <v>20</v>
      </c>
      <c r="S73" s="106">
        <f t="shared" si="44"/>
        <v>1.32</v>
      </c>
      <c r="T73" s="106">
        <f t="shared" si="45"/>
        <v>4</v>
      </c>
      <c r="U73" s="107">
        <f t="shared" si="46"/>
        <v>6.6</v>
      </c>
      <c r="V73" s="105">
        <f t="shared" si="47"/>
        <v>2</v>
      </c>
      <c r="W73" s="106">
        <f t="shared" si="48"/>
        <v>0.833333333333333</v>
      </c>
      <c r="X73" s="107">
        <f t="shared" si="49"/>
        <v>0.166666666666667</v>
      </c>
      <c r="Y73" s="105">
        <f t="shared" si="55"/>
        <v>0.476190476190476</v>
      </c>
      <c r="Z73" s="106">
        <f t="shared" si="56"/>
        <v>8.39619047619048</v>
      </c>
      <c r="AA73" s="106">
        <f t="shared" si="57"/>
        <v>6.60143139383179</v>
      </c>
      <c r="AB73" s="106">
        <v>0</v>
      </c>
      <c r="AC73" s="106">
        <f t="shared" si="58"/>
        <v>0.435788964474679</v>
      </c>
      <c r="AD73" s="107">
        <f t="shared" si="59"/>
        <v>0.435788964474679</v>
      </c>
      <c r="AE73" s="105">
        <f t="shared" si="60"/>
        <v>7.26</v>
      </c>
      <c r="AF73" s="106">
        <f t="shared" si="61"/>
        <v>6.60143139383179</v>
      </c>
      <c r="AG73" s="106">
        <f t="shared" si="50"/>
        <v>0.370420619803477</v>
      </c>
      <c r="AH73" s="106">
        <f t="shared" si="51"/>
        <v>1.07104537286838</v>
      </c>
      <c r="AI73" s="107">
        <f t="shared" si="62"/>
        <v>1.44146599267186</v>
      </c>
      <c r="AJ73" s="105">
        <f t="shared" si="63"/>
        <v>1.32</v>
      </c>
      <c r="AK73" s="106">
        <f t="shared" si="64"/>
        <v>3.3310012098792</v>
      </c>
      <c r="AL73" s="106">
        <f t="shared" si="65"/>
        <v>0.429</v>
      </c>
      <c r="AM73" s="106">
        <f t="shared" si="52"/>
        <v>0</v>
      </c>
      <c r="AN73" s="107">
        <f t="shared" si="66"/>
        <v>0.429</v>
      </c>
      <c r="AO73" s="105">
        <f t="shared" si="53"/>
        <v>0.435788964474679</v>
      </c>
      <c r="AP73" s="106">
        <f t="shared" si="54"/>
        <v>0.0756</v>
      </c>
      <c r="AQ73" s="107">
        <f t="shared" si="67"/>
        <v>0.0132</v>
      </c>
      <c r="AR73" s="105">
        <f t="shared" si="68"/>
        <v>2.39505495714654</v>
      </c>
      <c r="AS73" s="106">
        <f t="shared" si="69"/>
        <v>26.4</v>
      </c>
      <c r="AT73" s="107">
        <f t="shared" si="70"/>
        <v>91.6824088000147</v>
      </c>
    </row>
    <row r="74" spans="17:46">
      <c r="Q74">
        <v>67</v>
      </c>
      <c r="R74" s="105">
        <f t="shared" si="43"/>
        <v>20</v>
      </c>
      <c r="S74" s="106">
        <f t="shared" si="44"/>
        <v>1.34</v>
      </c>
      <c r="T74" s="106">
        <f t="shared" si="45"/>
        <v>4</v>
      </c>
      <c r="U74" s="107">
        <f t="shared" si="46"/>
        <v>6.7</v>
      </c>
      <c r="V74" s="105">
        <f t="shared" si="47"/>
        <v>2</v>
      </c>
      <c r="W74" s="106">
        <f t="shared" si="48"/>
        <v>0.833333333333333</v>
      </c>
      <c r="X74" s="107">
        <f t="shared" si="49"/>
        <v>0.166666666666667</v>
      </c>
      <c r="Y74" s="105">
        <f t="shared" si="55"/>
        <v>0.476190476190476</v>
      </c>
      <c r="Z74" s="106">
        <f t="shared" si="56"/>
        <v>8.51619047619048</v>
      </c>
      <c r="AA74" s="106">
        <f t="shared" si="57"/>
        <v>6.70141003427397</v>
      </c>
      <c r="AB74" s="106">
        <v>0</v>
      </c>
      <c r="AC74" s="106">
        <f t="shared" si="58"/>
        <v>0.449088964474679</v>
      </c>
      <c r="AD74" s="107">
        <f t="shared" si="59"/>
        <v>0.449088964474679</v>
      </c>
      <c r="AE74" s="105">
        <f t="shared" si="60"/>
        <v>7.48166666666667</v>
      </c>
      <c r="AF74" s="106">
        <f t="shared" si="61"/>
        <v>6.70141003427397</v>
      </c>
      <c r="AG74" s="106">
        <f t="shared" si="50"/>
        <v>0.381725619803477</v>
      </c>
      <c r="AH74" s="106">
        <f t="shared" si="51"/>
        <v>1.08727333306336</v>
      </c>
      <c r="AI74" s="107">
        <f t="shared" si="62"/>
        <v>1.46899895286683</v>
      </c>
      <c r="AJ74" s="105">
        <f t="shared" si="63"/>
        <v>1.34</v>
      </c>
      <c r="AK74" s="106">
        <f t="shared" si="64"/>
        <v>3.37998415229132</v>
      </c>
      <c r="AL74" s="106">
        <f t="shared" si="65"/>
        <v>0.4355</v>
      </c>
      <c r="AM74" s="106">
        <f t="shared" si="52"/>
        <v>0</v>
      </c>
      <c r="AN74" s="107">
        <f t="shared" si="66"/>
        <v>0.4355</v>
      </c>
      <c r="AO74" s="105">
        <f t="shared" si="53"/>
        <v>0.449088964474679</v>
      </c>
      <c r="AP74" s="106">
        <f t="shared" si="54"/>
        <v>0.0756</v>
      </c>
      <c r="AQ74" s="107">
        <f t="shared" si="67"/>
        <v>0.0132</v>
      </c>
      <c r="AR74" s="105">
        <f t="shared" si="68"/>
        <v>2.44238791734151</v>
      </c>
      <c r="AS74" s="106">
        <f t="shared" si="69"/>
        <v>26.8</v>
      </c>
      <c r="AT74" s="107">
        <f t="shared" si="70"/>
        <v>91.6477822391067</v>
      </c>
    </row>
    <row r="75" spans="17:46">
      <c r="Q75">
        <v>68</v>
      </c>
      <c r="R75" s="105">
        <f t="shared" si="43"/>
        <v>20</v>
      </c>
      <c r="S75" s="106">
        <f t="shared" si="44"/>
        <v>1.36</v>
      </c>
      <c r="T75" s="106">
        <f t="shared" si="45"/>
        <v>4</v>
      </c>
      <c r="U75" s="107">
        <f t="shared" si="46"/>
        <v>6.8</v>
      </c>
      <c r="V75" s="105">
        <f t="shared" si="47"/>
        <v>2</v>
      </c>
      <c r="W75" s="106">
        <f t="shared" si="48"/>
        <v>0.833333333333333</v>
      </c>
      <c r="X75" s="107">
        <f t="shared" si="49"/>
        <v>0.166666666666667</v>
      </c>
      <c r="Y75" s="105">
        <f t="shared" si="55"/>
        <v>0.476190476190476</v>
      </c>
      <c r="Z75" s="106">
        <f t="shared" si="56"/>
        <v>8.63619047619048</v>
      </c>
      <c r="AA75" s="106">
        <f t="shared" si="57"/>
        <v>6.80138930274307</v>
      </c>
      <c r="AB75" s="106">
        <v>0</v>
      </c>
      <c r="AC75" s="106">
        <f t="shared" si="58"/>
        <v>0.462588964474679</v>
      </c>
      <c r="AD75" s="107">
        <f t="shared" si="59"/>
        <v>0.462588964474679</v>
      </c>
      <c r="AE75" s="105">
        <f t="shared" si="60"/>
        <v>7.70666666666667</v>
      </c>
      <c r="AF75" s="106">
        <f t="shared" si="61"/>
        <v>6.80138930274307</v>
      </c>
      <c r="AG75" s="106">
        <f t="shared" si="50"/>
        <v>0.393200619803477</v>
      </c>
      <c r="AH75" s="106">
        <f t="shared" si="51"/>
        <v>1.10350129325833</v>
      </c>
      <c r="AI75" s="107">
        <f t="shared" si="62"/>
        <v>1.49670191306181</v>
      </c>
      <c r="AJ75" s="105">
        <f t="shared" si="63"/>
        <v>1.36</v>
      </c>
      <c r="AK75" s="106">
        <f t="shared" si="64"/>
        <v>3.42896729049204</v>
      </c>
      <c r="AL75" s="106">
        <f t="shared" si="65"/>
        <v>0.442</v>
      </c>
      <c r="AM75" s="106">
        <f t="shared" si="52"/>
        <v>0</v>
      </c>
      <c r="AN75" s="107">
        <f t="shared" si="66"/>
        <v>0.442</v>
      </c>
      <c r="AO75" s="105">
        <f t="shared" si="53"/>
        <v>0.462588964474679</v>
      </c>
      <c r="AP75" s="106">
        <f t="shared" si="54"/>
        <v>0.0756</v>
      </c>
      <c r="AQ75" s="107">
        <f t="shared" si="67"/>
        <v>0.0132</v>
      </c>
      <c r="AR75" s="105">
        <f t="shared" si="68"/>
        <v>2.49009087753649</v>
      </c>
      <c r="AS75" s="106">
        <f t="shared" si="69"/>
        <v>27.2</v>
      </c>
      <c r="AT75" s="107">
        <f t="shared" si="70"/>
        <v>91.6130574075794</v>
      </c>
    </row>
    <row r="76" spans="17:46">
      <c r="Q76">
        <v>69</v>
      </c>
      <c r="R76" s="105">
        <f t="shared" si="43"/>
        <v>20</v>
      </c>
      <c r="S76" s="106">
        <f t="shared" si="44"/>
        <v>1.38</v>
      </c>
      <c r="T76" s="106">
        <f t="shared" si="45"/>
        <v>4</v>
      </c>
      <c r="U76" s="107">
        <f t="shared" si="46"/>
        <v>6.9</v>
      </c>
      <c r="V76" s="105">
        <f t="shared" si="47"/>
        <v>2</v>
      </c>
      <c r="W76" s="106">
        <f t="shared" si="48"/>
        <v>0.833333333333333</v>
      </c>
      <c r="X76" s="107">
        <f t="shared" si="49"/>
        <v>0.166666666666667</v>
      </c>
      <c r="Y76" s="105">
        <f t="shared" si="55"/>
        <v>0.476190476190476</v>
      </c>
      <c r="Z76" s="106">
        <f t="shared" si="56"/>
        <v>8.75619047619048</v>
      </c>
      <c r="AA76" s="106">
        <f t="shared" si="57"/>
        <v>6.90136917194464</v>
      </c>
      <c r="AB76" s="106">
        <v>0</v>
      </c>
      <c r="AC76" s="106">
        <f t="shared" si="58"/>
        <v>0.476288964474679</v>
      </c>
      <c r="AD76" s="107">
        <f t="shared" si="59"/>
        <v>0.476288964474679</v>
      </c>
      <c r="AE76" s="105">
        <f t="shared" si="60"/>
        <v>7.935</v>
      </c>
      <c r="AF76" s="106">
        <f t="shared" si="61"/>
        <v>6.90136917194464</v>
      </c>
      <c r="AG76" s="106">
        <f t="shared" si="50"/>
        <v>0.404845619803477</v>
      </c>
      <c r="AH76" s="106">
        <f t="shared" si="51"/>
        <v>1.11972925345331</v>
      </c>
      <c r="AI76" s="107">
        <f t="shared" si="62"/>
        <v>1.52457487325679</v>
      </c>
      <c r="AJ76" s="105">
        <f t="shared" si="63"/>
        <v>1.38</v>
      </c>
      <c r="AK76" s="106">
        <f t="shared" si="64"/>
        <v>3.47795061620893</v>
      </c>
      <c r="AL76" s="106">
        <f t="shared" si="65"/>
        <v>0.4485</v>
      </c>
      <c r="AM76" s="106">
        <f t="shared" si="52"/>
        <v>0</v>
      </c>
      <c r="AN76" s="107">
        <f t="shared" si="66"/>
        <v>0.4485</v>
      </c>
      <c r="AO76" s="105">
        <f t="shared" si="53"/>
        <v>0.476288964474679</v>
      </c>
      <c r="AP76" s="106">
        <f t="shared" si="54"/>
        <v>0.0756</v>
      </c>
      <c r="AQ76" s="107">
        <f t="shared" si="67"/>
        <v>0.0132</v>
      </c>
      <c r="AR76" s="105">
        <f t="shared" si="68"/>
        <v>2.53816383773146</v>
      </c>
      <c r="AS76" s="106">
        <f t="shared" si="69"/>
        <v>27.6</v>
      </c>
      <c r="AT76" s="107">
        <f t="shared" si="70"/>
        <v>91.578239963797</v>
      </c>
    </row>
    <row r="77" spans="17:46">
      <c r="Q77">
        <v>70</v>
      </c>
      <c r="R77" s="105">
        <f t="shared" si="43"/>
        <v>20</v>
      </c>
      <c r="S77" s="106">
        <f t="shared" si="44"/>
        <v>1.4</v>
      </c>
      <c r="T77" s="106">
        <f t="shared" si="45"/>
        <v>4</v>
      </c>
      <c r="U77" s="107">
        <f t="shared" si="46"/>
        <v>7</v>
      </c>
      <c r="V77" s="105">
        <f t="shared" si="47"/>
        <v>2</v>
      </c>
      <c r="W77" s="106">
        <f t="shared" si="48"/>
        <v>0.833333333333333</v>
      </c>
      <c r="X77" s="107">
        <f t="shared" si="49"/>
        <v>0.166666666666667</v>
      </c>
      <c r="Y77" s="105">
        <f t="shared" si="55"/>
        <v>0.476190476190476</v>
      </c>
      <c r="Z77" s="106">
        <f t="shared" si="56"/>
        <v>8.87619047619048</v>
      </c>
      <c r="AA77" s="106">
        <f t="shared" si="57"/>
        <v>7.00134961614315</v>
      </c>
      <c r="AB77" s="106">
        <v>0</v>
      </c>
      <c r="AC77" s="106">
        <f t="shared" si="58"/>
        <v>0.490188964474679</v>
      </c>
      <c r="AD77" s="107">
        <f t="shared" si="59"/>
        <v>0.490188964474679</v>
      </c>
      <c r="AE77" s="105">
        <f t="shared" si="60"/>
        <v>8.16666666666667</v>
      </c>
      <c r="AF77" s="106">
        <f t="shared" si="61"/>
        <v>7.00134961614315</v>
      </c>
      <c r="AG77" s="106">
        <f t="shared" si="50"/>
        <v>0.416660619803477</v>
      </c>
      <c r="AH77" s="106">
        <f t="shared" si="51"/>
        <v>1.13595721364828</v>
      </c>
      <c r="AI77" s="107">
        <f t="shared" si="62"/>
        <v>1.55261783345176</v>
      </c>
      <c r="AJ77" s="105">
        <f t="shared" si="63"/>
        <v>1.4</v>
      </c>
      <c r="AK77" s="106">
        <f t="shared" si="64"/>
        <v>3.52693412162914</v>
      </c>
      <c r="AL77" s="106">
        <f t="shared" si="65"/>
        <v>0.455</v>
      </c>
      <c r="AM77" s="106">
        <f t="shared" si="52"/>
        <v>0</v>
      </c>
      <c r="AN77" s="107">
        <f t="shared" si="66"/>
        <v>0.455</v>
      </c>
      <c r="AO77" s="105">
        <f t="shared" si="53"/>
        <v>0.490188964474679</v>
      </c>
      <c r="AP77" s="106">
        <f t="shared" si="54"/>
        <v>0.0756</v>
      </c>
      <c r="AQ77" s="107">
        <f t="shared" si="67"/>
        <v>0.0132</v>
      </c>
      <c r="AR77" s="105">
        <f t="shared" si="68"/>
        <v>2.58660679792644</v>
      </c>
      <c r="AS77" s="106">
        <f t="shared" si="69"/>
        <v>28</v>
      </c>
      <c r="AT77" s="107">
        <f t="shared" si="70"/>
        <v>91.5433352414175</v>
      </c>
    </row>
    <row r="78" spans="17:46">
      <c r="Q78">
        <v>71</v>
      </c>
      <c r="R78" s="105">
        <f t="shared" si="43"/>
        <v>20</v>
      </c>
      <c r="S78" s="106">
        <f t="shared" si="44"/>
        <v>1.42</v>
      </c>
      <c r="T78" s="106">
        <f t="shared" si="45"/>
        <v>4</v>
      </c>
      <c r="U78" s="107">
        <f t="shared" si="46"/>
        <v>7.1</v>
      </c>
      <c r="V78" s="105">
        <f t="shared" si="47"/>
        <v>2</v>
      </c>
      <c r="W78" s="106">
        <f t="shared" si="48"/>
        <v>0.833333333333333</v>
      </c>
      <c r="X78" s="107">
        <f t="shared" si="49"/>
        <v>0.166666666666667</v>
      </c>
      <c r="Y78" s="105">
        <f t="shared" si="55"/>
        <v>0.476190476190476</v>
      </c>
      <c r="Z78" s="106">
        <f t="shared" si="56"/>
        <v>8.99619047619048</v>
      </c>
      <c r="AA78" s="106">
        <f t="shared" si="57"/>
        <v>7.10133061105226</v>
      </c>
      <c r="AB78" s="106">
        <v>0</v>
      </c>
      <c r="AC78" s="106">
        <f t="shared" si="58"/>
        <v>0.504288964474679</v>
      </c>
      <c r="AD78" s="107">
        <f t="shared" si="59"/>
        <v>0.504288964474679</v>
      </c>
      <c r="AE78" s="105">
        <f t="shared" si="60"/>
        <v>8.40166666666667</v>
      </c>
      <c r="AF78" s="106">
        <f t="shared" si="61"/>
        <v>7.10133061105226</v>
      </c>
      <c r="AG78" s="106">
        <f t="shared" si="50"/>
        <v>0.428645619803477</v>
      </c>
      <c r="AH78" s="106">
        <f t="shared" si="51"/>
        <v>1.15218517384326</v>
      </c>
      <c r="AI78" s="107">
        <f t="shared" si="62"/>
        <v>1.58083079364674</v>
      </c>
      <c r="AJ78" s="105">
        <f t="shared" si="63"/>
        <v>1.42</v>
      </c>
      <c r="AK78" s="106">
        <f t="shared" si="64"/>
        <v>3.57591779936784</v>
      </c>
      <c r="AL78" s="106">
        <f t="shared" si="65"/>
        <v>0.4615</v>
      </c>
      <c r="AM78" s="106">
        <f t="shared" si="52"/>
        <v>0</v>
      </c>
      <c r="AN78" s="107">
        <f t="shared" si="66"/>
        <v>0.4615</v>
      </c>
      <c r="AO78" s="105">
        <f t="shared" si="53"/>
        <v>0.504288964474679</v>
      </c>
      <c r="AP78" s="106">
        <f t="shared" si="54"/>
        <v>0.0756</v>
      </c>
      <c r="AQ78" s="107">
        <f t="shared" si="67"/>
        <v>0.0132</v>
      </c>
      <c r="AR78" s="105">
        <f t="shared" si="68"/>
        <v>2.63541975812141</v>
      </c>
      <c r="AS78" s="106">
        <f t="shared" si="69"/>
        <v>28.4</v>
      </c>
      <c r="AT78" s="107">
        <f t="shared" si="70"/>
        <v>91.5083482721971</v>
      </c>
    </row>
    <row r="79" spans="17:46">
      <c r="Q79">
        <v>72</v>
      </c>
      <c r="R79" s="105">
        <f t="shared" si="43"/>
        <v>20</v>
      </c>
      <c r="S79" s="106">
        <f t="shared" si="44"/>
        <v>1.44</v>
      </c>
      <c r="T79" s="106">
        <f t="shared" si="45"/>
        <v>4</v>
      </c>
      <c r="U79" s="107">
        <f t="shared" si="46"/>
        <v>7.2</v>
      </c>
      <c r="V79" s="105">
        <f t="shared" si="47"/>
        <v>2</v>
      </c>
      <c r="W79" s="106">
        <f t="shared" si="48"/>
        <v>0.833333333333333</v>
      </c>
      <c r="X79" s="107">
        <f t="shared" si="49"/>
        <v>0.166666666666667</v>
      </c>
      <c r="Y79" s="105">
        <f t="shared" si="55"/>
        <v>0.476190476190476</v>
      </c>
      <c r="Z79" s="106">
        <f t="shared" si="56"/>
        <v>9.11619047619048</v>
      </c>
      <c r="AA79" s="106">
        <f t="shared" si="57"/>
        <v>7.20131213373423</v>
      </c>
      <c r="AB79" s="106">
        <v>0</v>
      </c>
      <c r="AC79" s="106">
        <f t="shared" si="58"/>
        <v>0.518588964474679</v>
      </c>
      <c r="AD79" s="107">
        <f t="shared" si="59"/>
        <v>0.518588964474679</v>
      </c>
      <c r="AE79" s="105">
        <f t="shared" si="60"/>
        <v>8.64</v>
      </c>
      <c r="AF79" s="106">
        <f t="shared" si="61"/>
        <v>7.20131213373423</v>
      </c>
      <c r="AG79" s="106">
        <f t="shared" si="50"/>
        <v>0.440800619803477</v>
      </c>
      <c r="AH79" s="106">
        <f t="shared" si="51"/>
        <v>1.16841313403823</v>
      </c>
      <c r="AI79" s="107">
        <f t="shared" si="62"/>
        <v>1.60921375384171</v>
      </c>
      <c r="AJ79" s="105">
        <f t="shared" si="63"/>
        <v>1.44</v>
      </c>
      <c r="AK79" s="106">
        <f t="shared" si="64"/>
        <v>3.62490164243935</v>
      </c>
      <c r="AL79" s="106">
        <f t="shared" si="65"/>
        <v>0.468</v>
      </c>
      <c r="AM79" s="106">
        <f t="shared" si="52"/>
        <v>0</v>
      </c>
      <c r="AN79" s="107">
        <f t="shared" si="66"/>
        <v>0.468</v>
      </c>
      <c r="AO79" s="105">
        <f t="shared" si="53"/>
        <v>0.518588964474679</v>
      </c>
      <c r="AP79" s="106">
        <f t="shared" si="54"/>
        <v>0.0756</v>
      </c>
      <c r="AQ79" s="107">
        <f t="shared" si="67"/>
        <v>0.0132</v>
      </c>
      <c r="AR79" s="105">
        <f t="shared" si="68"/>
        <v>2.68460271831639</v>
      </c>
      <c r="AS79" s="106">
        <f t="shared" si="69"/>
        <v>28.8</v>
      </c>
      <c r="AT79" s="107">
        <f t="shared" si="70"/>
        <v>91.4732838068984</v>
      </c>
    </row>
    <row r="80" spans="17:46">
      <c r="Q80">
        <v>73</v>
      </c>
      <c r="R80" s="105">
        <f t="shared" si="43"/>
        <v>20</v>
      </c>
      <c r="S80" s="106">
        <f t="shared" si="44"/>
        <v>1.46</v>
      </c>
      <c r="T80" s="106">
        <f t="shared" si="45"/>
        <v>4</v>
      </c>
      <c r="U80" s="107">
        <f t="shared" si="46"/>
        <v>7.3</v>
      </c>
      <c r="V80" s="105">
        <f t="shared" si="47"/>
        <v>2</v>
      </c>
      <c r="W80" s="106">
        <f t="shared" si="48"/>
        <v>0.833333333333333</v>
      </c>
      <c r="X80" s="107">
        <f t="shared" si="49"/>
        <v>0.166666666666667</v>
      </c>
      <c r="Y80" s="105">
        <f t="shared" si="55"/>
        <v>0.476190476190476</v>
      </c>
      <c r="Z80" s="106">
        <f t="shared" si="56"/>
        <v>9.23619047619048</v>
      </c>
      <c r="AA80" s="106">
        <f t="shared" si="57"/>
        <v>7.30129416250762</v>
      </c>
      <c r="AB80" s="106">
        <v>0</v>
      </c>
      <c r="AC80" s="106">
        <f t="shared" si="58"/>
        <v>0.533088964474679</v>
      </c>
      <c r="AD80" s="107">
        <f t="shared" si="59"/>
        <v>0.533088964474679</v>
      </c>
      <c r="AE80" s="105">
        <f t="shared" si="60"/>
        <v>8.88166666666667</v>
      </c>
      <c r="AF80" s="106">
        <f t="shared" si="61"/>
        <v>7.30129416250762</v>
      </c>
      <c r="AG80" s="106">
        <f t="shared" si="50"/>
        <v>0.453125619803477</v>
      </c>
      <c r="AH80" s="106">
        <f t="shared" si="51"/>
        <v>1.18464109423321</v>
      </c>
      <c r="AI80" s="107">
        <f t="shared" si="62"/>
        <v>1.63776671403669</v>
      </c>
      <c r="AJ80" s="105">
        <f t="shared" si="63"/>
        <v>1.46</v>
      </c>
      <c r="AK80" s="106">
        <f t="shared" si="64"/>
        <v>3.67388564423055</v>
      </c>
      <c r="AL80" s="106">
        <f t="shared" si="65"/>
        <v>0.4745</v>
      </c>
      <c r="AM80" s="106">
        <f t="shared" si="52"/>
        <v>0</v>
      </c>
      <c r="AN80" s="107">
        <f t="shared" si="66"/>
        <v>0.4745</v>
      </c>
      <c r="AO80" s="105">
        <f t="shared" si="53"/>
        <v>0.533088964474679</v>
      </c>
      <c r="AP80" s="106">
        <f t="shared" si="54"/>
        <v>0.0756</v>
      </c>
      <c r="AQ80" s="107">
        <f t="shared" si="67"/>
        <v>0.0132</v>
      </c>
      <c r="AR80" s="105">
        <f t="shared" si="68"/>
        <v>2.73415567851137</v>
      </c>
      <c r="AS80" s="106">
        <f t="shared" si="69"/>
        <v>29.2</v>
      </c>
      <c r="AT80" s="107">
        <f t="shared" si="70"/>
        <v>91.4381463344866</v>
      </c>
    </row>
    <row r="81" spans="17:46">
      <c r="Q81">
        <v>74</v>
      </c>
      <c r="R81" s="105">
        <f t="shared" si="43"/>
        <v>20</v>
      </c>
      <c r="S81" s="106">
        <f t="shared" si="44"/>
        <v>1.48</v>
      </c>
      <c r="T81" s="106">
        <f t="shared" si="45"/>
        <v>4</v>
      </c>
      <c r="U81" s="107">
        <f t="shared" si="46"/>
        <v>7.4</v>
      </c>
      <c r="V81" s="105">
        <f t="shared" si="47"/>
        <v>2</v>
      </c>
      <c r="W81" s="106">
        <f t="shared" si="48"/>
        <v>0.833333333333333</v>
      </c>
      <c r="X81" s="107">
        <f t="shared" si="49"/>
        <v>0.166666666666667</v>
      </c>
      <c r="Y81" s="105">
        <f t="shared" si="55"/>
        <v>0.476190476190476</v>
      </c>
      <c r="Z81" s="106">
        <f t="shared" si="56"/>
        <v>9.35619047619048</v>
      </c>
      <c r="AA81" s="106">
        <f t="shared" si="57"/>
        <v>7.40127667686244</v>
      </c>
      <c r="AB81" s="106">
        <v>0</v>
      </c>
      <c r="AC81" s="106">
        <f t="shared" si="58"/>
        <v>0.547788964474679</v>
      </c>
      <c r="AD81" s="107">
        <f t="shared" si="59"/>
        <v>0.547788964474679</v>
      </c>
      <c r="AE81" s="105">
        <f t="shared" si="60"/>
        <v>9.12666666666667</v>
      </c>
      <c r="AF81" s="106">
        <f t="shared" si="61"/>
        <v>7.40127667686244</v>
      </c>
      <c r="AG81" s="106">
        <f t="shared" si="50"/>
        <v>0.465620619803477</v>
      </c>
      <c r="AH81" s="106">
        <f t="shared" si="51"/>
        <v>1.20086905442819</v>
      </c>
      <c r="AI81" s="107">
        <f t="shared" si="62"/>
        <v>1.66648967423166</v>
      </c>
      <c r="AJ81" s="105">
        <f t="shared" si="63"/>
        <v>1.48</v>
      </c>
      <c r="AK81" s="106">
        <f t="shared" si="64"/>
        <v>3.72286979847633</v>
      </c>
      <c r="AL81" s="106">
        <f t="shared" si="65"/>
        <v>0.481</v>
      </c>
      <c r="AM81" s="106">
        <f t="shared" si="52"/>
        <v>0</v>
      </c>
      <c r="AN81" s="107">
        <f t="shared" si="66"/>
        <v>0.481</v>
      </c>
      <c r="AO81" s="105">
        <f t="shared" si="53"/>
        <v>0.547788964474679</v>
      </c>
      <c r="AP81" s="106">
        <f t="shared" si="54"/>
        <v>0.0756</v>
      </c>
      <c r="AQ81" s="107">
        <f t="shared" si="67"/>
        <v>0.0132</v>
      </c>
      <c r="AR81" s="105">
        <f t="shared" si="68"/>
        <v>2.78407863870634</v>
      </c>
      <c r="AS81" s="106">
        <f t="shared" si="69"/>
        <v>29.6</v>
      </c>
      <c r="AT81" s="107">
        <f t="shared" si="70"/>
        <v>91.4029400997726</v>
      </c>
    </row>
    <row r="82" spans="17:46">
      <c r="Q82">
        <v>75</v>
      </c>
      <c r="R82" s="105">
        <f t="shared" si="43"/>
        <v>20</v>
      </c>
      <c r="S82" s="106">
        <f t="shared" si="44"/>
        <v>1.5</v>
      </c>
      <c r="T82" s="106">
        <f t="shared" si="45"/>
        <v>4</v>
      </c>
      <c r="U82" s="107">
        <f t="shared" si="46"/>
        <v>7.5</v>
      </c>
      <c r="V82" s="105">
        <f t="shared" si="47"/>
        <v>2</v>
      </c>
      <c r="W82" s="106">
        <f t="shared" si="48"/>
        <v>0.833333333333333</v>
      </c>
      <c r="X82" s="107">
        <f t="shared" si="49"/>
        <v>0.166666666666667</v>
      </c>
      <c r="Y82" s="105">
        <f t="shared" si="55"/>
        <v>0.476190476190476</v>
      </c>
      <c r="Z82" s="106">
        <f t="shared" si="56"/>
        <v>9.47619047619048</v>
      </c>
      <c r="AA82" s="106">
        <f t="shared" si="57"/>
        <v>7.50125965738208</v>
      </c>
      <c r="AB82" s="106">
        <v>0</v>
      </c>
      <c r="AC82" s="106">
        <f t="shared" si="58"/>
        <v>0.562688964474679</v>
      </c>
      <c r="AD82" s="107">
        <f t="shared" si="59"/>
        <v>0.562688964474679</v>
      </c>
      <c r="AE82" s="105">
        <f t="shared" si="60"/>
        <v>9.375</v>
      </c>
      <c r="AF82" s="106">
        <f t="shared" si="61"/>
        <v>7.50125965738208</v>
      </c>
      <c r="AG82" s="106">
        <f t="shared" si="50"/>
        <v>0.478285619803477</v>
      </c>
      <c r="AH82" s="106">
        <f t="shared" si="51"/>
        <v>1.21709701462316</v>
      </c>
      <c r="AI82" s="107">
        <f t="shared" si="62"/>
        <v>1.69538263442664</v>
      </c>
      <c r="AJ82" s="105">
        <f t="shared" si="63"/>
        <v>1.5</v>
      </c>
      <c r="AK82" s="106">
        <f t="shared" si="64"/>
        <v>3.771854099237</v>
      </c>
      <c r="AL82" s="106">
        <f t="shared" si="65"/>
        <v>0.4875</v>
      </c>
      <c r="AM82" s="106">
        <f t="shared" si="52"/>
        <v>0</v>
      </c>
      <c r="AN82" s="107">
        <f t="shared" si="66"/>
        <v>0.4875</v>
      </c>
      <c r="AO82" s="105">
        <f t="shared" si="53"/>
        <v>0.562688964474679</v>
      </c>
      <c r="AP82" s="106">
        <f t="shared" si="54"/>
        <v>0.0756</v>
      </c>
      <c r="AQ82" s="107">
        <f t="shared" si="67"/>
        <v>0.0132</v>
      </c>
      <c r="AR82" s="105">
        <f t="shared" si="68"/>
        <v>2.83437159890132</v>
      </c>
      <c r="AS82" s="106">
        <f t="shared" si="69"/>
        <v>30</v>
      </c>
      <c r="AT82" s="107">
        <f t="shared" si="70"/>
        <v>91.3676691196485</v>
      </c>
    </row>
    <row r="83" spans="17:46">
      <c r="Q83">
        <v>76</v>
      </c>
      <c r="R83" s="105">
        <f t="shared" si="43"/>
        <v>20</v>
      </c>
      <c r="S83" s="106">
        <f t="shared" si="44"/>
        <v>1.52</v>
      </c>
      <c r="T83" s="106">
        <f t="shared" si="45"/>
        <v>4</v>
      </c>
      <c r="U83" s="107">
        <f t="shared" si="46"/>
        <v>7.6</v>
      </c>
      <c r="V83" s="105">
        <f t="shared" si="47"/>
        <v>2</v>
      </c>
      <c r="W83" s="106">
        <f t="shared" si="48"/>
        <v>0.833333333333333</v>
      </c>
      <c r="X83" s="107">
        <f t="shared" si="49"/>
        <v>0.166666666666667</v>
      </c>
      <c r="Y83" s="105">
        <f t="shared" si="55"/>
        <v>0.476190476190476</v>
      </c>
      <c r="Z83" s="106">
        <f t="shared" si="56"/>
        <v>9.59619047619048</v>
      </c>
      <c r="AA83" s="106">
        <f t="shared" si="57"/>
        <v>7.60124308567144</v>
      </c>
      <c r="AB83" s="106">
        <v>0</v>
      </c>
      <c r="AC83" s="106">
        <f t="shared" si="58"/>
        <v>0.577788964474679</v>
      </c>
      <c r="AD83" s="107">
        <f t="shared" si="59"/>
        <v>0.577788964474679</v>
      </c>
      <c r="AE83" s="105">
        <f t="shared" si="60"/>
        <v>9.62666666666667</v>
      </c>
      <c r="AF83" s="106">
        <f t="shared" si="61"/>
        <v>7.60124308567144</v>
      </c>
      <c r="AG83" s="106">
        <f t="shared" si="50"/>
        <v>0.491120619803477</v>
      </c>
      <c r="AH83" s="106">
        <f t="shared" si="51"/>
        <v>1.23332497481814</v>
      </c>
      <c r="AI83" s="107">
        <f t="shared" si="62"/>
        <v>1.72444559462161</v>
      </c>
      <c r="AJ83" s="105">
        <f t="shared" si="63"/>
        <v>1.52</v>
      </c>
      <c r="AK83" s="106">
        <f t="shared" si="64"/>
        <v>3.82083854087748</v>
      </c>
      <c r="AL83" s="106">
        <f t="shared" si="65"/>
        <v>0.494</v>
      </c>
      <c r="AM83" s="106">
        <f t="shared" si="52"/>
        <v>0</v>
      </c>
      <c r="AN83" s="107">
        <f t="shared" si="66"/>
        <v>0.494</v>
      </c>
      <c r="AO83" s="105">
        <f t="shared" si="53"/>
        <v>0.577788964474679</v>
      </c>
      <c r="AP83" s="106">
        <f t="shared" si="54"/>
        <v>0.0756</v>
      </c>
      <c r="AQ83" s="107">
        <f t="shared" si="67"/>
        <v>0.0132</v>
      </c>
      <c r="AR83" s="105">
        <f t="shared" si="68"/>
        <v>2.88503455909629</v>
      </c>
      <c r="AS83" s="106">
        <f t="shared" si="69"/>
        <v>30.4</v>
      </c>
      <c r="AT83" s="107">
        <f t="shared" si="70"/>
        <v>91.3323371980461</v>
      </c>
    </row>
    <row r="84" spans="17:46">
      <c r="Q84">
        <v>77</v>
      </c>
      <c r="R84" s="105">
        <f t="shared" si="43"/>
        <v>20</v>
      </c>
      <c r="S84" s="106">
        <f t="shared" si="44"/>
        <v>1.54</v>
      </c>
      <c r="T84" s="106">
        <f t="shared" si="45"/>
        <v>4</v>
      </c>
      <c r="U84" s="107">
        <f t="shared" si="46"/>
        <v>7.7</v>
      </c>
      <c r="V84" s="105">
        <f t="shared" si="47"/>
        <v>2</v>
      </c>
      <c r="W84" s="106">
        <f t="shared" si="48"/>
        <v>0.833333333333333</v>
      </c>
      <c r="X84" s="107">
        <f t="shared" si="49"/>
        <v>0.166666666666667</v>
      </c>
      <c r="Y84" s="105">
        <f t="shared" si="55"/>
        <v>0.476190476190476</v>
      </c>
      <c r="Z84" s="106">
        <f t="shared" si="56"/>
        <v>9.71619047619048</v>
      </c>
      <c r="AA84" s="106">
        <f t="shared" si="57"/>
        <v>7.70122694429062</v>
      </c>
      <c r="AB84" s="106">
        <v>0</v>
      </c>
      <c r="AC84" s="106">
        <f t="shared" si="58"/>
        <v>0.593088964474679</v>
      </c>
      <c r="AD84" s="107">
        <f t="shared" si="59"/>
        <v>0.593088964474679</v>
      </c>
      <c r="AE84" s="105">
        <f t="shared" si="60"/>
        <v>9.88166666666667</v>
      </c>
      <c r="AF84" s="106">
        <f t="shared" si="61"/>
        <v>7.70122694429062</v>
      </c>
      <c r="AG84" s="106">
        <f t="shared" si="50"/>
        <v>0.504125619803477</v>
      </c>
      <c r="AH84" s="106">
        <f t="shared" si="51"/>
        <v>1.24955293501311</v>
      </c>
      <c r="AI84" s="107">
        <f t="shared" si="62"/>
        <v>1.75367855481659</v>
      </c>
      <c r="AJ84" s="105">
        <f t="shared" si="63"/>
        <v>1.54</v>
      </c>
      <c r="AK84" s="106">
        <f t="shared" si="64"/>
        <v>3.86982311804798</v>
      </c>
      <c r="AL84" s="106">
        <f t="shared" si="65"/>
        <v>0.5005</v>
      </c>
      <c r="AM84" s="106">
        <f t="shared" si="52"/>
        <v>0</v>
      </c>
      <c r="AN84" s="107">
        <f t="shared" si="66"/>
        <v>0.5005</v>
      </c>
      <c r="AO84" s="105">
        <f t="shared" si="53"/>
        <v>0.593088964474679</v>
      </c>
      <c r="AP84" s="106">
        <f t="shared" si="54"/>
        <v>0.0756</v>
      </c>
      <c r="AQ84" s="107">
        <f t="shared" si="67"/>
        <v>0.0132</v>
      </c>
      <c r="AR84" s="105">
        <f t="shared" si="68"/>
        <v>2.93606751929127</v>
      </c>
      <c r="AS84" s="106">
        <f t="shared" si="69"/>
        <v>30.8</v>
      </c>
      <c r="AT84" s="107">
        <f t="shared" si="70"/>
        <v>91.2969479397315</v>
      </c>
    </row>
    <row r="85" spans="17:46">
      <c r="Q85">
        <v>78</v>
      </c>
      <c r="R85" s="105">
        <f t="shared" si="43"/>
        <v>20</v>
      </c>
      <c r="S85" s="106">
        <f t="shared" si="44"/>
        <v>1.56</v>
      </c>
      <c r="T85" s="106">
        <f t="shared" si="45"/>
        <v>4</v>
      </c>
      <c r="U85" s="107">
        <f t="shared" si="46"/>
        <v>7.8</v>
      </c>
      <c r="V85" s="105">
        <f t="shared" si="47"/>
        <v>2</v>
      </c>
      <c r="W85" s="106">
        <f t="shared" si="48"/>
        <v>0.833333333333333</v>
      </c>
      <c r="X85" s="107">
        <f t="shared" si="49"/>
        <v>0.166666666666667</v>
      </c>
      <c r="Y85" s="105">
        <f t="shared" si="55"/>
        <v>0.476190476190476</v>
      </c>
      <c r="Z85" s="106">
        <f t="shared" si="56"/>
        <v>9.83619047619048</v>
      </c>
      <c r="AA85" s="106">
        <f t="shared" si="57"/>
        <v>7.80121121669372</v>
      </c>
      <c r="AB85" s="106">
        <v>0</v>
      </c>
      <c r="AC85" s="106">
        <f t="shared" si="58"/>
        <v>0.608588964474679</v>
      </c>
      <c r="AD85" s="107">
        <f t="shared" si="59"/>
        <v>0.608588964474679</v>
      </c>
      <c r="AE85" s="105">
        <f t="shared" si="60"/>
        <v>10.14</v>
      </c>
      <c r="AF85" s="106">
        <f t="shared" si="61"/>
        <v>7.80121121669372</v>
      </c>
      <c r="AG85" s="106">
        <f t="shared" si="50"/>
        <v>0.517300619803477</v>
      </c>
      <c r="AH85" s="106">
        <f t="shared" si="51"/>
        <v>1.26578089520809</v>
      </c>
      <c r="AI85" s="107">
        <f t="shared" si="62"/>
        <v>1.78308151501156</v>
      </c>
      <c r="AJ85" s="105">
        <f t="shared" si="63"/>
        <v>1.56</v>
      </c>
      <c r="AK85" s="106">
        <f t="shared" si="64"/>
        <v>3.91880782566617</v>
      </c>
      <c r="AL85" s="106">
        <f t="shared" si="65"/>
        <v>0.507</v>
      </c>
      <c r="AM85" s="106">
        <f t="shared" si="52"/>
        <v>0</v>
      </c>
      <c r="AN85" s="107">
        <f t="shared" si="66"/>
        <v>0.507</v>
      </c>
      <c r="AO85" s="105">
        <f t="shared" si="53"/>
        <v>0.608588964474679</v>
      </c>
      <c r="AP85" s="106">
        <f t="shared" si="54"/>
        <v>0.0756</v>
      </c>
      <c r="AQ85" s="107">
        <f t="shared" si="67"/>
        <v>0.0132</v>
      </c>
      <c r="AR85" s="105">
        <f t="shared" si="68"/>
        <v>2.98747047948624</v>
      </c>
      <c r="AS85" s="106">
        <f t="shared" si="69"/>
        <v>31.2</v>
      </c>
      <c r="AT85" s="107">
        <f t="shared" si="70"/>
        <v>91.2615047630423</v>
      </c>
    </row>
    <row r="86" spans="17:46">
      <c r="Q86">
        <v>79</v>
      </c>
      <c r="R86" s="105">
        <f t="shared" si="43"/>
        <v>20</v>
      </c>
      <c r="S86" s="106">
        <f t="shared" si="44"/>
        <v>1.58</v>
      </c>
      <c r="T86" s="106">
        <f t="shared" si="45"/>
        <v>4</v>
      </c>
      <c r="U86" s="107">
        <f t="shared" si="46"/>
        <v>7.9</v>
      </c>
      <c r="V86" s="105">
        <f t="shared" si="47"/>
        <v>2</v>
      </c>
      <c r="W86" s="106">
        <f t="shared" si="48"/>
        <v>0.833333333333333</v>
      </c>
      <c r="X86" s="107">
        <f t="shared" si="49"/>
        <v>0.166666666666667</v>
      </c>
      <c r="Y86" s="105">
        <f t="shared" si="55"/>
        <v>0.476190476190476</v>
      </c>
      <c r="Z86" s="106">
        <f t="shared" si="56"/>
        <v>9.95619047619048</v>
      </c>
      <c r="AA86" s="106">
        <f t="shared" si="57"/>
        <v>7.90119588717226</v>
      </c>
      <c r="AB86" s="106">
        <v>0</v>
      </c>
      <c r="AC86" s="106">
        <f t="shared" si="58"/>
        <v>0.624288964474679</v>
      </c>
      <c r="AD86" s="107">
        <f t="shared" si="59"/>
        <v>0.624288964474679</v>
      </c>
      <c r="AE86" s="105">
        <f t="shared" si="60"/>
        <v>10.4016666666667</v>
      </c>
      <c r="AF86" s="106">
        <f t="shared" si="61"/>
        <v>7.90119588717226</v>
      </c>
      <c r="AG86" s="106">
        <f t="shared" si="50"/>
        <v>0.530645619803477</v>
      </c>
      <c r="AH86" s="106">
        <f t="shared" si="51"/>
        <v>1.28200885540306</v>
      </c>
      <c r="AI86" s="107">
        <f t="shared" si="62"/>
        <v>1.81265447520654</v>
      </c>
      <c r="AJ86" s="105">
        <f t="shared" si="63"/>
        <v>1.58</v>
      </c>
      <c r="AK86" s="106">
        <f t="shared" si="64"/>
        <v>3.96779265890069</v>
      </c>
      <c r="AL86" s="106">
        <f t="shared" si="65"/>
        <v>0.5135</v>
      </c>
      <c r="AM86" s="106">
        <f t="shared" si="52"/>
        <v>0</v>
      </c>
      <c r="AN86" s="107">
        <f t="shared" si="66"/>
        <v>0.5135</v>
      </c>
      <c r="AO86" s="105">
        <f t="shared" si="53"/>
        <v>0.624288964474679</v>
      </c>
      <c r="AP86" s="106">
        <f t="shared" si="54"/>
        <v>0.0756</v>
      </c>
      <c r="AQ86" s="107">
        <f t="shared" si="67"/>
        <v>0.0132</v>
      </c>
      <c r="AR86" s="105">
        <f t="shared" si="68"/>
        <v>3.03924343968122</v>
      </c>
      <c r="AS86" s="106">
        <f t="shared" si="69"/>
        <v>31.6</v>
      </c>
      <c r="AT86" s="107">
        <f t="shared" si="70"/>
        <v>91.2260109116598</v>
      </c>
    </row>
    <row r="87" spans="17:46">
      <c r="Q87">
        <v>80</v>
      </c>
      <c r="R87" s="105">
        <f t="shared" si="43"/>
        <v>20</v>
      </c>
      <c r="S87" s="106">
        <f t="shared" si="44"/>
        <v>1.6</v>
      </c>
      <c r="T87" s="106">
        <f t="shared" si="45"/>
        <v>4</v>
      </c>
      <c r="U87" s="107">
        <f t="shared" si="46"/>
        <v>8</v>
      </c>
      <c r="V87" s="105">
        <f t="shared" si="47"/>
        <v>2</v>
      </c>
      <c r="W87" s="106">
        <f t="shared" si="48"/>
        <v>0.833333333333333</v>
      </c>
      <c r="X87" s="107">
        <f t="shared" si="49"/>
        <v>0.166666666666667</v>
      </c>
      <c r="Y87" s="105">
        <f t="shared" si="55"/>
        <v>0.476190476190476</v>
      </c>
      <c r="Z87" s="106">
        <f t="shared" si="56"/>
        <v>10.0761904761905</v>
      </c>
      <c r="AA87" s="106">
        <f t="shared" si="57"/>
        <v>8.00118094080292</v>
      </c>
      <c r="AB87" s="106">
        <v>0</v>
      </c>
      <c r="AC87" s="106">
        <f t="shared" si="58"/>
        <v>0.640188964474679</v>
      </c>
      <c r="AD87" s="107">
        <f t="shared" si="59"/>
        <v>0.640188964474679</v>
      </c>
      <c r="AE87" s="105">
        <f t="shared" si="60"/>
        <v>10.6666666666667</v>
      </c>
      <c r="AF87" s="106">
        <f t="shared" si="61"/>
        <v>8.00118094080292</v>
      </c>
      <c r="AG87" s="106">
        <f t="shared" si="50"/>
        <v>0.544160619803477</v>
      </c>
      <c r="AH87" s="106">
        <f t="shared" si="51"/>
        <v>1.29823681559804</v>
      </c>
      <c r="AI87" s="107">
        <f t="shared" si="62"/>
        <v>1.84239743540152</v>
      </c>
      <c r="AJ87" s="105">
        <f t="shared" si="63"/>
        <v>1.6</v>
      </c>
      <c r="AK87" s="106">
        <f t="shared" si="64"/>
        <v>4.01677761315585</v>
      </c>
      <c r="AL87" s="106">
        <f t="shared" si="65"/>
        <v>0.52</v>
      </c>
      <c r="AM87" s="106">
        <f t="shared" si="52"/>
        <v>0</v>
      </c>
      <c r="AN87" s="107">
        <f t="shared" si="66"/>
        <v>0.52</v>
      </c>
      <c r="AO87" s="105">
        <f t="shared" si="53"/>
        <v>0.640188964474679</v>
      </c>
      <c r="AP87" s="106">
        <f t="shared" si="54"/>
        <v>0.0756</v>
      </c>
      <c r="AQ87" s="107">
        <f t="shared" si="67"/>
        <v>0.0132</v>
      </c>
      <c r="AR87" s="105">
        <f t="shared" si="68"/>
        <v>3.09138639987619</v>
      </c>
      <c r="AS87" s="106">
        <f t="shared" si="69"/>
        <v>32</v>
      </c>
      <c r="AT87" s="107">
        <f t="shared" si="70"/>
        <v>91.1904694655008</v>
      </c>
    </row>
    <row r="88" spans="17:46">
      <c r="Q88">
        <v>81</v>
      </c>
      <c r="R88" s="105">
        <f t="shared" si="43"/>
        <v>20</v>
      </c>
      <c r="S88" s="106">
        <f t="shared" si="44"/>
        <v>1.62</v>
      </c>
      <c r="T88" s="106">
        <f t="shared" si="45"/>
        <v>4</v>
      </c>
      <c r="U88" s="107">
        <f t="shared" si="46"/>
        <v>8.1</v>
      </c>
      <c r="V88" s="105">
        <f t="shared" si="47"/>
        <v>2</v>
      </c>
      <c r="W88" s="106">
        <f t="shared" si="48"/>
        <v>0.833333333333333</v>
      </c>
      <c r="X88" s="107">
        <f t="shared" si="49"/>
        <v>0.166666666666667</v>
      </c>
      <c r="Y88" s="105">
        <f t="shared" si="55"/>
        <v>0.476190476190476</v>
      </c>
      <c r="Z88" s="106">
        <f t="shared" si="56"/>
        <v>10.1961904761905</v>
      </c>
      <c r="AA88" s="106">
        <f t="shared" si="57"/>
        <v>8.10116636339903</v>
      </c>
      <c r="AB88" s="106">
        <v>0</v>
      </c>
      <c r="AC88" s="106">
        <f t="shared" si="58"/>
        <v>0.656288964474679</v>
      </c>
      <c r="AD88" s="107">
        <f t="shared" si="59"/>
        <v>0.656288964474679</v>
      </c>
      <c r="AE88" s="105">
        <f t="shared" si="60"/>
        <v>10.935</v>
      </c>
      <c r="AF88" s="106">
        <f t="shared" si="61"/>
        <v>8.10116636339903</v>
      </c>
      <c r="AG88" s="106">
        <f t="shared" si="50"/>
        <v>0.557845619803477</v>
      </c>
      <c r="AH88" s="106">
        <f t="shared" si="51"/>
        <v>1.31446477579301</v>
      </c>
      <c r="AI88" s="107">
        <f t="shared" si="62"/>
        <v>1.87231039559649</v>
      </c>
      <c r="AJ88" s="105">
        <f t="shared" si="63"/>
        <v>1.62</v>
      </c>
      <c r="AK88" s="106">
        <f t="shared" si="64"/>
        <v>4.06576268405742</v>
      </c>
      <c r="AL88" s="106">
        <f t="shared" si="65"/>
        <v>0.5265</v>
      </c>
      <c r="AM88" s="106">
        <f t="shared" si="52"/>
        <v>0</v>
      </c>
      <c r="AN88" s="107">
        <f t="shared" si="66"/>
        <v>0.5265</v>
      </c>
      <c r="AO88" s="105">
        <f t="shared" si="53"/>
        <v>0.656288964474679</v>
      </c>
      <c r="AP88" s="106">
        <f t="shared" si="54"/>
        <v>0.0756</v>
      </c>
      <c r="AQ88" s="107">
        <f t="shared" si="67"/>
        <v>0.0132</v>
      </c>
      <c r="AR88" s="105">
        <f t="shared" si="68"/>
        <v>3.14389936007117</v>
      </c>
      <c r="AS88" s="106">
        <f t="shared" si="69"/>
        <v>32.4</v>
      </c>
      <c r="AT88" s="107">
        <f t="shared" si="70"/>
        <v>91.1548833508039</v>
      </c>
    </row>
    <row r="89" spans="17:46">
      <c r="Q89">
        <v>82</v>
      </c>
      <c r="R89" s="105">
        <f t="shared" si="43"/>
        <v>20</v>
      </c>
      <c r="S89" s="106">
        <f t="shared" si="44"/>
        <v>1.64</v>
      </c>
      <c r="T89" s="106">
        <f t="shared" si="45"/>
        <v>4</v>
      </c>
      <c r="U89" s="107">
        <f t="shared" si="46"/>
        <v>8.2</v>
      </c>
      <c r="V89" s="105">
        <f t="shared" si="47"/>
        <v>2</v>
      </c>
      <c r="W89" s="106">
        <f t="shared" si="48"/>
        <v>0.833333333333333</v>
      </c>
      <c r="X89" s="107">
        <f t="shared" si="49"/>
        <v>0.166666666666667</v>
      </c>
      <c r="Y89" s="105">
        <f t="shared" si="55"/>
        <v>0.476190476190476</v>
      </c>
      <c r="Z89" s="106">
        <f t="shared" si="56"/>
        <v>10.3161904761905</v>
      </c>
      <c r="AA89" s="106">
        <f t="shared" si="57"/>
        <v>8.20115214146573</v>
      </c>
      <c r="AB89" s="106">
        <v>0</v>
      </c>
      <c r="AC89" s="106">
        <f t="shared" si="58"/>
        <v>0.672588964474679</v>
      </c>
      <c r="AD89" s="107">
        <f t="shared" si="59"/>
        <v>0.672588964474679</v>
      </c>
      <c r="AE89" s="105">
        <f t="shared" si="60"/>
        <v>11.2066666666667</v>
      </c>
      <c r="AF89" s="106">
        <f t="shared" si="61"/>
        <v>8.20115214146573</v>
      </c>
      <c r="AG89" s="106">
        <f t="shared" si="50"/>
        <v>0.571700619803477</v>
      </c>
      <c r="AH89" s="106">
        <f t="shared" si="51"/>
        <v>1.33069273598799</v>
      </c>
      <c r="AI89" s="107">
        <f t="shared" si="62"/>
        <v>1.90239335579147</v>
      </c>
      <c r="AJ89" s="105">
        <f t="shared" si="63"/>
        <v>1.64</v>
      </c>
      <c r="AK89" s="106">
        <f t="shared" si="64"/>
        <v>4.11474786743947</v>
      </c>
      <c r="AL89" s="106">
        <f t="shared" si="65"/>
        <v>0.533</v>
      </c>
      <c r="AM89" s="106">
        <f t="shared" si="52"/>
        <v>0</v>
      </c>
      <c r="AN89" s="107">
        <f t="shared" si="66"/>
        <v>0.533</v>
      </c>
      <c r="AO89" s="105">
        <f t="shared" si="53"/>
        <v>0.672588964474679</v>
      </c>
      <c r="AP89" s="106">
        <f t="shared" si="54"/>
        <v>0.0756</v>
      </c>
      <c r="AQ89" s="107">
        <f t="shared" si="67"/>
        <v>0.0132</v>
      </c>
      <c r="AR89" s="105">
        <f t="shared" si="68"/>
        <v>3.19678232026615</v>
      </c>
      <c r="AS89" s="106">
        <f t="shared" si="69"/>
        <v>32.8</v>
      </c>
      <c r="AT89" s="107">
        <f t="shared" si="70"/>
        <v>91.1192553494806</v>
      </c>
    </row>
    <row r="90" spans="17:46">
      <c r="Q90">
        <v>83</v>
      </c>
      <c r="R90" s="105">
        <f t="shared" si="43"/>
        <v>20</v>
      </c>
      <c r="S90" s="106">
        <f t="shared" si="44"/>
        <v>1.66</v>
      </c>
      <c r="T90" s="106">
        <f t="shared" si="45"/>
        <v>4</v>
      </c>
      <c r="U90" s="107">
        <f t="shared" si="46"/>
        <v>8.3</v>
      </c>
      <c r="V90" s="105">
        <f t="shared" si="47"/>
        <v>2</v>
      </c>
      <c r="W90" s="106">
        <f t="shared" si="48"/>
        <v>0.833333333333333</v>
      </c>
      <c r="X90" s="107">
        <f t="shared" si="49"/>
        <v>0.166666666666667</v>
      </c>
      <c r="Y90" s="105">
        <f t="shared" si="55"/>
        <v>0.476190476190476</v>
      </c>
      <c r="Z90" s="106">
        <f t="shared" si="56"/>
        <v>10.4361904761905</v>
      </c>
      <c r="AA90" s="106">
        <f t="shared" si="57"/>
        <v>8.30113826215826</v>
      </c>
      <c r="AB90" s="106">
        <v>0</v>
      </c>
      <c r="AC90" s="106">
        <f t="shared" si="58"/>
        <v>0.689088964474679</v>
      </c>
      <c r="AD90" s="107">
        <f t="shared" si="59"/>
        <v>0.689088964474679</v>
      </c>
      <c r="AE90" s="105">
        <f t="shared" si="60"/>
        <v>11.4816666666667</v>
      </c>
      <c r="AF90" s="106">
        <f t="shared" si="61"/>
        <v>8.30113826215826</v>
      </c>
      <c r="AG90" s="106">
        <f t="shared" si="50"/>
        <v>0.585725619803477</v>
      </c>
      <c r="AH90" s="106">
        <f t="shared" si="51"/>
        <v>1.34692069618296</v>
      </c>
      <c r="AI90" s="107">
        <f t="shared" si="62"/>
        <v>1.93264631598644</v>
      </c>
      <c r="AJ90" s="105">
        <f t="shared" si="63"/>
        <v>1.66</v>
      </c>
      <c r="AK90" s="106">
        <f t="shared" si="64"/>
        <v>4.16373315933207</v>
      </c>
      <c r="AL90" s="106">
        <f t="shared" si="65"/>
        <v>0.5395</v>
      </c>
      <c r="AM90" s="106">
        <f t="shared" si="52"/>
        <v>0</v>
      </c>
      <c r="AN90" s="107">
        <f t="shared" si="66"/>
        <v>0.5395</v>
      </c>
      <c r="AO90" s="105">
        <f t="shared" si="53"/>
        <v>0.689088964474679</v>
      </c>
      <c r="AP90" s="106">
        <f t="shared" si="54"/>
        <v>0.0756</v>
      </c>
      <c r="AQ90" s="107">
        <f t="shared" si="67"/>
        <v>0.0132</v>
      </c>
      <c r="AR90" s="105">
        <f t="shared" si="68"/>
        <v>3.25003528046112</v>
      </c>
      <c r="AS90" s="106">
        <f t="shared" si="69"/>
        <v>33.2</v>
      </c>
      <c r="AT90" s="107">
        <f t="shared" si="70"/>
        <v>91.0835881077918</v>
      </c>
    </row>
    <row r="91" spans="17:46">
      <c r="Q91">
        <v>84</v>
      </c>
      <c r="R91" s="105">
        <f t="shared" si="43"/>
        <v>20</v>
      </c>
      <c r="S91" s="106">
        <f t="shared" si="44"/>
        <v>1.68</v>
      </c>
      <c r="T91" s="106">
        <f t="shared" si="45"/>
        <v>4</v>
      </c>
      <c r="U91" s="107">
        <f t="shared" si="46"/>
        <v>8.4</v>
      </c>
      <c r="V91" s="105">
        <f t="shared" si="47"/>
        <v>2</v>
      </c>
      <c r="W91" s="106">
        <f t="shared" si="48"/>
        <v>0.833333333333333</v>
      </c>
      <c r="X91" s="107">
        <f t="shared" si="49"/>
        <v>0.166666666666667</v>
      </c>
      <c r="Y91" s="105">
        <f t="shared" si="55"/>
        <v>0.476190476190476</v>
      </c>
      <c r="Z91" s="106">
        <f t="shared" si="56"/>
        <v>10.5561904761905</v>
      </c>
      <c r="AA91" s="106">
        <f t="shared" si="57"/>
        <v>8.40112471324333</v>
      </c>
      <c r="AB91" s="106">
        <v>0</v>
      </c>
      <c r="AC91" s="106">
        <f t="shared" si="58"/>
        <v>0.705788964474679</v>
      </c>
      <c r="AD91" s="107">
        <f t="shared" si="59"/>
        <v>0.705788964474679</v>
      </c>
      <c r="AE91" s="105">
        <f t="shared" si="60"/>
        <v>11.76</v>
      </c>
      <c r="AF91" s="106">
        <f t="shared" si="61"/>
        <v>8.40112471324333</v>
      </c>
      <c r="AG91" s="106">
        <f t="shared" si="50"/>
        <v>0.599920619803477</v>
      </c>
      <c r="AH91" s="106">
        <f t="shared" si="51"/>
        <v>1.36314865637794</v>
      </c>
      <c r="AI91" s="107">
        <f t="shared" si="62"/>
        <v>1.96306927618142</v>
      </c>
      <c r="AJ91" s="105">
        <f t="shared" si="63"/>
        <v>1.68</v>
      </c>
      <c r="AK91" s="106">
        <f t="shared" si="64"/>
        <v>4.21271855594998</v>
      </c>
      <c r="AL91" s="106">
        <f t="shared" si="65"/>
        <v>0.546</v>
      </c>
      <c r="AM91" s="106">
        <f t="shared" si="52"/>
        <v>0</v>
      </c>
      <c r="AN91" s="107">
        <f t="shared" si="66"/>
        <v>0.546</v>
      </c>
      <c r="AO91" s="105">
        <f t="shared" si="53"/>
        <v>0.705788964474679</v>
      </c>
      <c r="AP91" s="106">
        <f t="shared" si="54"/>
        <v>0.0756</v>
      </c>
      <c r="AQ91" s="107">
        <f t="shared" si="67"/>
        <v>0.0132</v>
      </c>
      <c r="AR91" s="105">
        <f t="shared" si="68"/>
        <v>3.3036582406561</v>
      </c>
      <c r="AS91" s="106">
        <f t="shared" si="69"/>
        <v>33.6</v>
      </c>
      <c r="AT91" s="107">
        <f t="shared" si="70"/>
        <v>91.0478841444057</v>
      </c>
    </row>
    <row r="92" spans="17:46">
      <c r="Q92">
        <v>85</v>
      </c>
      <c r="R92" s="105">
        <f t="shared" si="43"/>
        <v>20</v>
      </c>
      <c r="S92" s="106">
        <f t="shared" si="44"/>
        <v>1.7</v>
      </c>
      <c r="T92" s="106">
        <f t="shared" si="45"/>
        <v>4</v>
      </c>
      <c r="U92" s="107">
        <f t="shared" si="46"/>
        <v>8.5</v>
      </c>
      <c r="V92" s="105">
        <f t="shared" si="47"/>
        <v>2</v>
      </c>
      <c r="W92" s="106">
        <f t="shared" si="48"/>
        <v>0.833333333333333</v>
      </c>
      <c r="X92" s="107">
        <f t="shared" si="49"/>
        <v>0.166666666666667</v>
      </c>
      <c r="Y92" s="105">
        <f t="shared" si="55"/>
        <v>0.476190476190476</v>
      </c>
      <c r="Z92" s="106">
        <f t="shared" si="56"/>
        <v>10.6761904761905</v>
      </c>
      <c r="AA92" s="106">
        <f t="shared" si="57"/>
        <v>8.50111148306313</v>
      </c>
      <c r="AB92" s="106">
        <v>0</v>
      </c>
      <c r="AC92" s="106">
        <f t="shared" si="58"/>
        <v>0.722688964474679</v>
      </c>
      <c r="AD92" s="107">
        <f t="shared" si="59"/>
        <v>0.722688964474679</v>
      </c>
      <c r="AE92" s="105">
        <f t="shared" si="60"/>
        <v>12.0416666666667</v>
      </c>
      <c r="AF92" s="106">
        <f t="shared" si="61"/>
        <v>8.50111148306313</v>
      </c>
      <c r="AG92" s="106">
        <f t="shared" si="50"/>
        <v>0.614285619803477</v>
      </c>
      <c r="AH92" s="106">
        <f t="shared" si="51"/>
        <v>1.37937661657292</v>
      </c>
      <c r="AI92" s="107">
        <f t="shared" si="62"/>
        <v>1.99366223637639</v>
      </c>
      <c r="AJ92" s="105">
        <f t="shared" si="63"/>
        <v>1.7</v>
      </c>
      <c r="AK92" s="106">
        <f t="shared" si="64"/>
        <v>4.26170405368194</v>
      </c>
      <c r="AL92" s="106">
        <f t="shared" si="65"/>
        <v>0.5525</v>
      </c>
      <c r="AM92" s="106">
        <f t="shared" si="52"/>
        <v>0</v>
      </c>
      <c r="AN92" s="107">
        <f t="shared" si="66"/>
        <v>0.5525</v>
      </c>
      <c r="AO92" s="105">
        <f t="shared" si="53"/>
        <v>0.722688964474679</v>
      </c>
      <c r="AP92" s="106">
        <f t="shared" si="54"/>
        <v>0.0756</v>
      </c>
      <c r="AQ92" s="107">
        <f t="shared" si="67"/>
        <v>0.0132</v>
      </c>
      <c r="AR92" s="105">
        <f t="shared" si="68"/>
        <v>3.35765120085107</v>
      </c>
      <c r="AS92" s="106">
        <f t="shared" si="69"/>
        <v>34</v>
      </c>
      <c r="AT92" s="107">
        <f t="shared" si="70"/>
        <v>91.012145857889</v>
      </c>
    </row>
    <row r="93" spans="17:46">
      <c r="Q93">
        <v>86</v>
      </c>
      <c r="R93" s="105">
        <f t="shared" si="43"/>
        <v>20</v>
      </c>
      <c r="S93" s="106">
        <f t="shared" si="44"/>
        <v>1.72</v>
      </c>
      <c r="T93" s="106">
        <f t="shared" si="45"/>
        <v>4</v>
      </c>
      <c r="U93" s="107">
        <f t="shared" si="46"/>
        <v>8.6</v>
      </c>
      <c r="V93" s="105">
        <f t="shared" si="47"/>
        <v>2</v>
      </c>
      <c r="W93" s="106">
        <f t="shared" si="48"/>
        <v>0.833333333333333</v>
      </c>
      <c r="X93" s="107">
        <f t="shared" si="49"/>
        <v>0.166666666666667</v>
      </c>
      <c r="Y93" s="105">
        <f t="shared" si="55"/>
        <v>0.476190476190476</v>
      </c>
      <c r="Z93" s="106">
        <f t="shared" si="56"/>
        <v>10.7961904761905</v>
      </c>
      <c r="AA93" s="106">
        <f t="shared" si="57"/>
        <v>8.6010985605019</v>
      </c>
      <c r="AB93" s="106">
        <v>0</v>
      </c>
      <c r="AC93" s="106">
        <f t="shared" si="58"/>
        <v>0.739788964474679</v>
      </c>
      <c r="AD93" s="107">
        <f t="shared" si="59"/>
        <v>0.739788964474679</v>
      </c>
      <c r="AE93" s="105">
        <f t="shared" si="60"/>
        <v>12.3266666666667</v>
      </c>
      <c r="AF93" s="106">
        <f t="shared" si="61"/>
        <v>8.6010985605019</v>
      </c>
      <c r="AG93" s="106">
        <f t="shared" si="50"/>
        <v>0.628820619803477</v>
      </c>
      <c r="AH93" s="106">
        <f t="shared" si="51"/>
        <v>1.39560457676789</v>
      </c>
      <c r="AI93" s="107">
        <f t="shared" si="62"/>
        <v>2.02442519657137</v>
      </c>
      <c r="AJ93" s="105">
        <f t="shared" si="63"/>
        <v>1.72</v>
      </c>
      <c r="AK93" s="106">
        <f t="shared" si="64"/>
        <v>4.31068964908086</v>
      </c>
      <c r="AL93" s="106">
        <f t="shared" si="65"/>
        <v>0.559</v>
      </c>
      <c r="AM93" s="106">
        <f t="shared" si="52"/>
        <v>0</v>
      </c>
      <c r="AN93" s="107">
        <f t="shared" si="66"/>
        <v>0.559</v>
      </c>
      <c r="AO93" s="105">
        <f t="shared" si="53"/>
        <v>0.739788964474679</v>
      </c>
      <c r="AP93" s="106">
        <f t="shared" si="54"/>
        <v>0.0756</v>
      </c>
      <c r="AQ93" s="107">
        <f t="shared" si="67"/>
        <v>0.0132</v>
      </c>
      <c r="AR93" s="105">
        <f t="shared" si="68"/>
        <v>3.41201416104605</v>
      </c>
      <c r="AS93" s="106">
        <f t="shared" si="69"/>
        <v>34.4</v>
      </c>
      <c r="AT93" s="107">
        <f t="shared" si="70"/>
        <v>90.976375533676</v>
      </c>
    </row>
    <row r="94" spans="17:46">
      <c r="Q94">
        <v>87</v>
      </c>
      <c r="R94" s="105">
        <f t="shared" si="43"/>
        <v>20</v>
      </c>
      <c r="S94" s="106">
        <f t="shared" si="44"/>
        <v>1.74</v>
      </c>
      <c r="T94" s="106">
        <f t="shared" si="45"/>
        <v>4</v>
      </c>
      <c r="U94" s="107">
        <f t="shared" si="46"/>
        <v>8.7</v>
      </c>
      <c r="V94" s="105">
        <f t="shared" si="47"/>
        <v>2</v>
      </c>
      <c r="W94" s="106">
        <f t="shared" si="48"/>
        <v>0.833333333333333</v>
      </c>
      <c r="X94" s="107">
        <f t="shared" si="49"/>
        <v>0.166666666666667</v>
      </c>
      <c r="Y94" s="105">
        <f t="shared" si="55"/>
        <v>0.476190476190476</v>
      </c>
      <c r="Z94" s="106">
        <f t="shared" si="56"/>
        <v>10.9161904761905</v>
      </c>
      <c r="AA94" s="106">
        <f t="shared" si="57"/>
        <v>8.70108593495478</v>
      </c>
      <c r="AB94" s="106">
        <v>0</v>
      </c>
      <c r="AC94" s="106">
        <f t="shared" si="58"/>
        <v>0.757088964474679</v>
      </c>
      <c r="AD94" s="107">
        <f t="shared" si="59"/>
        <v>0.757088964474679</v>
      </c>
      <c r="AE94" s="105">
        <f t="shared" si="60"/>
        <v>12.615</v>
      </c>
      <c r="AF94" s="106">
        <f t="shared" si="61"/>
        <v>8.70108593495478</v>
      </c>
      <c r="AG94" s="106">
        <f t="shared" si="50"/>
        <v>0.643525619803477</v>
      </c>
      <c r="AH94" s="106">
        <f t="shared" si="51"/>
        <v>1.41183253696287</v>
      </c>
      <c r="AI94" s="107">
        <f t="shared" si="62"/>
        <v>2.05535815676634</v>
      </c>
      <c r="AJ94" s="105">
        <f t="shared" si="63"/>
        <v>1.74</v>
      </c>
      <c r="AK94" s="106">
        <f t="shared" si="64"/>
        <v>4.35967533885457</v>
      </c>
      <c r="AL94" s="106">
        <f t="shared" si="65"/>
        <v>0.5655</v>
      </c>
      <c r="AM94" s="106">
        <f t="shared" si="52"/>
        <v>0</v>
      </c>
      <c r="AN94" s="107">
        <f t="shared" si="66"/>
        <v>0.5655</v>
      </c>
      <c r="AO94" s="105">
        <f t="shared" si="53"/>
        <v>0.757088964474679</v>
      </c>
      <c r="AP94" s="106">
        <f t="shared" si="54"/>
        <v>0.0756</v>
      </c>
      <c r="AQ94" s="107">
        <f t="shared" si="67"/>
        <v>0.0132</v>
      </c>
      <c r="AR94" s="105">
        <f t="shared" si="68"/>
        <v>3.46674712124102</v>
      </c>
      <c r="AS94" s="106">
        <f t="shared" si="69"/>
        <v>34.8</v>
      </c>
      <c r="AT94" s="107">
        <f t="shared" si="70"/>
        <v>90.9405753505588</v>
      </c>
    </row>
    <row r="95" spans="17:46">
      <c r="Q95">
        <v>88</v>
      </c>
      <c r="R95" s="105">
        <f t="shared" si="43"/>
        <v>20</v>
      </c>
      <c r="S95" s="106">
        <f t="shared" si="44"/>
        <v>1.76</v>
      </c>
      <c r="T95" s="106">
        <f t="shared" si="45"/>
        <v>4</v>
      </c>
      <c r="U95" s="107">
        <f t="shared" si="46"/>
        <v>8.8</v>
      </c>
      <c r="V95" s="105">
        <f t="shared" si="47"/>
        <v>2</v>
      </c>
      <c r="W95" s="106">
        <f t="shared" si="48"/>
        <v>0.833333333333333</v>
      </c>
      <c r="X95" s="107">
        <f t="shared" si="49"/>
        <v>0.166666666666667</v>
      </c>
      <c r="Y95" s="105">
        <f t="shared" si="55"/>
        <v>0.476190476190476</v>
      </c>
      <c r="Z95" s="106">
        <f t="shared" si="56"/>
        <v>11.0361904761905</v>
      </c>
      <c r="AA95" s="106">
        <f t="shared" si="57"/>
        <v>8.8010735962988</v>
      </c>
      <c r="AB95" s="106">
        <v>0</v>
      </c>
      <c r="AC95" s="106">
        <f t="shared" si="58"/>
        <v>0.774588964474679</v>
      </c>
      <c r="AD95" s="107">
        <f t="shared" si="59"/>
        <v>0.774588964474679</v>
      </c>
      <c r="AE95" s="105">
        <f t="shared" si="60"/>
        <v>12.9066666666667</v>
      </c>
      <c r="AF95" s="106">
        <f t="shared" si="61"/>
        <v>8.8010735962988</v>
      </c>
      <c r="AG95" s="106">
        <f t="shared" si="50"/>
        <v>0.658400619803477</v>
      </c>
      <c r="AH95" s="106">
        <f t="shared" si="51"/>
        <v>1.42806049715784</v>
      </c>
      <c r="AI95" s="107">
        <f t="shared" si="62"/>
        <v>2.08646111696132</v>
      </c>
      <c r="AJ95" s="105">
        <f t="shared" si="63"/>
        <v>1.76</v>
      </c>
      <c r="AK95" s="106">
        <f t="shared" si="64"/>
        <v>4.40866111985719</v>
      </c>
      <c r="AL95" s="106">
        <f t="shared" si="65"/>
        <v>0.572</v>
      </c>
      <c r="AM95" s="106">
        <f t="shared" si="52"/>
        <v>0</v>
      </c>
      <c r="AN95" s="107">
        <f t="shared" si="66"/>
        <v>0.572</v>
      </c>
      <c r="AO95" s="105">
        <f t="shared" si="53"/>
        <v>0.774588964474679</v>
      </c>
      <c r="AP95" s="106">
        <f t="shared" si="54"/>
        <v>0.0756</v>
      </c>
      <c r="AQ95" s="107">
        <f t="shared" si="67"/>
        <v>0.0132</v>
      </c>
      <c r="AR95" s="105">
        <f t="shared" si="68"/>
        <v>3.521850081436</v>
      </c>
      <c r="AS95" s="106">
        <f t="shared" si="69"/>
        <v>35.2</v>
      </c>
      <c r="AT95" s="107">
        <f t="shared" si="70"/>
        <v>90.9047473867359</v>
      </c>
    </row>
    <row r="96" spans="17:46">
      <c r="Q96">
        <v>89</v>
      </c>
      <c r="R96" s="105">
        <f t="shared" si="43"/>
        <v>20</v>
      </c>
      <c r="S96" s="106">
        <f t="shared" si="44"/>
        <v>1.78</v>
      </c>
      <c r="T96" s="106">
        <f t="shared" si="45"/>
        <v>4</v>
      </c>
      <c r="U96" s="107">
        <f t="shared" si="46"/>
        <v>8.9</v>
      </c>
      <c r="V96" s="105">
        <f t="shared" si="47"/>
        <v>2</v>
      </c>
      <c r="W96" s="106">
        <f t="shared" si="48"/>
        <v>0.833333333333333</v>
      </c>
      <c r="X96" s="107">
        <f t="shared" si="49"/>
        <v>0.166666666666667</v>
      </c>
      <c r="Y96" s="105">
        <f t="shared" si="55"/>
        <v>0.476190476190476</v>
      </c>
      <c r="Z96" s="106">
        <f t="shared" si="56"/>
        <v>11.1561904761905</v>
      </c>
      <c r="AA96" s="106">
        <f t="shared" si="57"/>
        <v>8.90106153486582</v>
      </c>
      <c r="AB96" s="106">
        <v>0</v>
      </c>
      <c r="AC96" s="106">
        <f t="shared" si="58"/>
        <v>0.792288964474679</v>
      </c>
      <c r="AD96" s="107">
        <f t="shared" si="59"/>
        <v>0.792288964474679</v>
      </c>
      <c r="AE96" s="105">
        <f t="shared" si="60"/>
        <v>13.2016666666667</v>
      </c>
      <c r="AF96" s="106">
        <f t="shared" si="61"/>
        <v>8.90106153486582</v>
      </c>
      <c r="AG96" s="106">
        <f t="shared" si="50"/>
        <v>0.673445619803477</v>
      </c>
      <c r="AH96" s="106">
        <f t="shared" si="51"/>
        <v>1.44428845735282</v>
      </c>
      <c r="AI96" s="107">
        <f t="shared" si="62"/>
        <v>2.11773407715629</v>
      </c>
      <c r="AJ96" s="105">
        <f t="shared" si="63"/>
        <v>1.78</v>
      </c>
      <c r="AK96" s="106">
        <f t="shared" si="64"/>
        <v>4.45764698908116</v>
      </c>
      <c r="AL96" s="106">
        <f t="shared" si="65"/>
        <v>0.5785</v>
      </c>
      <c r="AM96" s="106">
        <f t="shared" si="52"/>
        <v>0</v>
      </c>
      <c r="AN96" s="107">
        <f t="shared" si="66"/>
        <v>0.5785</v>
      </c>
      <c r="AO96" s="105">
        <f t="shared" si="53"/>
        <v>0.792288964474679</v>
      </c>
      <c r="AP96" s="106">
        <f t="shared" si="54"/>
        <v>0.0756</v>
      </c>
      <c r="AQ96" s="107">
        <f t="shared" si="67"/>
        <v>0.0132</v>
      </c>
      <c r="AR96" s="105">
        <f t="shared" si="68"/>
        <v>3.57732304163097</v>
      </c>
      <c r="AS96" s="106">
        <f t="shared" si="69"/>
        <v>35.6</v>
      </c>
      <c r="AT96" s="107">
        <f t="shared" si="70"/>
        <v>90.8688936254537</v>
      </c>
    </row>
    <row r="97" spans="17:46">
      <c r="Q97">
        <v>90</v>
      </c>
      <c r="R97" s="105">
        <f t="shared" si="43"/>
        <v>20</v>
      </c>
      <c r="S97" s="106">
        <f t="shared" si="44"/>
        <v>1.8</v>
      </c>
      <c r="T97" s="106">
        <f t="shared" si="45"/>
        <v>4</v>
      </c>
      <c r="U97" s="107">
        <f t="shared" si="46"/>
        <v>9</v>
      </c>
      <c r="V97" s="105">
        <f t="shared" si="47"/>
        <v>2</v>
      </c>
      <c r="W97" s="106">
        <f t="shared" si="48"/>
        <v>0.833333333333333</v>
      </c>
      <c r="X97" s="107">
        <f t="shared" si="49"/>
        <v>0.166666666666667</v>
      </c>
      <c r="Y97" s="105">
        <f t="shared" si="55"/>
        <v>0.476190476190476</v>
      </c>
      <c r="Z97" s="106">
        <f t="shared" si="56"/>
        <v>11.2761904761905</v>
      </c>
      <c r="AA97" s="106">
        <f t="shared" si="57"/>
        <v>9.00104974141727</v>
      </c>
      <c r="AB97" s="106">
        <v>0</v>
      </c>
      <c r="AC97" s="106">
        <f t="shared" si="58"/>
        <v>0.810188964474679</v>
      </c>
      <c r="AD97" s="107">
        <f t="shared" si="59"/>
        <v>0.810188964474679</v>
      </c>
      <c r="AE97" s="105">
        <f t="shared" si="60"/>
        <v>13.5</v>
      </c>
      <c r="AF97" s="106">
        <f t="shared" si="61"/>
        <v>9.00104974141727</v>
      </c>
      <c r="AG97" s="106">
        <f t="shared" si="50"/>
        <v>0.688660619803477</v>
      </c>
      <c r="AH97" s="106">
        <f t="shared" si="51"/>
        <v>1.46051641754779</v>
      </c>
      <c r="AI97" s="107">
        <f t="shared" si="62"/>
        <v>2.14917703735127</v>
      </c>
      <c r="AJ97" s="105">
        <f t="shared" si="63"/>
        <v>1.8</v>
      </c>
      <c r="AK97" s="106">
        <f t="shared" si="64"/>
        <v>4.50663294364963</v>
      </c>
      <c r="AL97" s="106">
        <f t="shared" si="65"/>
        <v>0.585</v>
      </c>
      <c r="AM97" s="106">
        <f t="shared" si="52"/>
        <v>0</v>
      </c>
      <c r="AN97" s="107">
        <f t="shared" si="66"/>
        <v>0.585</v>
      </c>
      <c r="AO97" s="105">
        <f t="shared" si="53"/>
        <v>0.810188964474679</v>
      </c>
      <c r="AP97" s="106">
        <f t="shared" si="54"/>
        <v>0.0756</v>
      </c>
      <c r="AQ97" s="107">
        <f t="shared" si="67"/>
        <v>0.0132</v>
      </c>
      <c r="AR97" s="105">
        <f t="shared" si="68"/>
        <v>3.63316600182595</v>
      </c>
      <c r="AS97" s="106">
        <f t="shared" si="69"/>
        <v>36</v>
      </c>
      <c r="AT97" s="107">
        <f t="shared" si="70"/>
        <v>90.8330159602729</v>
      </c>
    </row>
    <row r="98" spans="17:46">
      <c r="Q98">
        <v>91</v>
      </c>
      <c r="R98" s="105">
        <f t="shared" si="43"/>
        <v>20</v>
      </c>
      <c r="S98" s="106">
        <f t="shared" si="44"/>
        <v>1.82</v>
      </c>
      <c r="T98" s="106">
        <f t="shared" si="45"/>
        <v>4</v>
      </c>
      <c r="U98" s="107">
        <f t="shared" si="46"/>
        <v>9.1</v>
      </c>
      <c r="V98" s="105">
        <f t="shared" si="47"/>
        <v>2</v>
      </c>
      <c r="W98" s="106">
        <f t="shared" si="48"/>
        <v>0.833333333333333</v>
      </c>
      <c r="X98" s="107">
        <f t="shared" si="49"/>
        <v>0.166666666666667</v>
      </c>
      <c r="Y98" s="105">
        <f t="shared" si="55"/>
        <v>0.476190476190476</v>
      </c>
      <c r="Z98" s="106">
        <f t="shared" si="56"/>
        <v>11.3961904761905</v>
      </c>
      <c r="AA98" s="106">
        <f t="shared" si="57"/>
        <v>9.10103820712054</v>
      </c>
      <c r="AB98" s="106">
        <v>0</v>
      </c>
      <c r="AC98" s="106">
        <f t="shared" si="58"/>
        <v>0.828288964474679</v>
      </c>
      <c r="AD98" s="107">
        <f t="shared" si="59"/>
        <v>0.828288964474679</v>
      </c>
      <c r="AE98" s="105">
        <f t="shared" si="60"/>
        <v>13.8016666666667</v>
      </c>
      <c r="AF98" s="106">
        <f t="shared" si="61"/>
        <v>9.10103820712054</v>
      </c>
      <c r="AG98" s="106">
        <f t="shared" si="50"/>
        <v>0.704045619803477</v>
      </c>
      <c r="AH98" s="106">
        <f t="shared" si="51"/>
        <v>1.47674437774277</v>
      </c>
      <c r="AI98" s="107">
        <f t="shared" si="62"/>
        <v>2.18078999754625</v>
      </c>
      <c r="AJ98" s="105">
        <f t="shared" si="63"/>
        <v>1.82</v>
      </c>
      <c r="AK98" s="106">
        <f t="shared" si="64"/>
        <v>4.55561898080951</v>
      </c>
      <c r="AL98" s="106">
        <f t="shared" si="65"/>
        <v>0.5915</v>
      </c>
      <c r="AM98" s="106">
        <f t="shared" si="52"/>
        <v>0</v>
      </c>
      <c r="AN98" s="107">
        <f t="shared" si="66"/>
        <v>0.5915</v>
      </c>
      <c r="AO98" s="105">
        <f t="shared" si="53"/>
        <v>0.828288964474679</v>
      </c>
      <c r="AP98" s="106">
        <f t="shared" si="54"/>
        <v>0.0756</v>
      </c>
      <c r="AQ98" s="107">
        <f t="shared" si="67"/>
        <v>0.0132</v>
      </c>
      <c r="AR98" s="105">
        <f t="shared" si="68"/>
        <v>3.68937896202092</v>
      </c>
      <c r="AS98" s="106">
        <f t="shared" si="69"/>
        <v>36.4</v>
      </c>
      <c r="AT98" s="107">
        <f t="shared" si="70"/>
        <v>90.7971161999888</v>
      </c>
    </row>
    <row r="99" spans="17:46">
      <c r="Q99">
        <v>92</v>
      </c>
      <c r="R99" s="105">
        <f t="shared" si="43"/>
        <v>20</v>
      </c>
      <c r="S99" s="106">
        <f t="shared" si="44"/>
        <v>1.84</v>
      </c>
      <c r="T99" s="106">
        <f t="shared" si="45"/>
        <v>4</v>
      </c>
      <c r="U99" s="107">
        <f t="shared" si="46"/>
        <v>9.2</v>
      </c>
      <c r="V99" s="105">
        <f t="shared" si="47"/>
        <v>2</v>
      </c>
      <c r="W99" s="106">
        <f t="shared" si="48"/>
        <v>0.833333333333333</v>
      </c>
      <c r="X99" s="107">
        <f t="shared" si="49"/>
        <v>0.166666666666667</v>
      </c>
      <c r="Y99" s="105">
        <f t="shared" si="55"/>
        <v>0.476190476190476</v>
      </c>
      <c r="Z99" s="106">
        <f t="shared" si="56"/>
        <v>11.5161904761905</v>
      </c>
      <c r="AA99" s="106">
        <f t="shared" si="57"/>
        <v>9.20102692352696</v>
      </c>
      <c r="AB99" s="106">
        <v>0</v>
      </c>
      <c r="AC99" s="106">
        <f t="shared" si="58"/>
        <v>0.846588964474679</v>
      </c>
      <c r="AD99" s="107">
        <f t="shared" si="59"/>
        <v>0.846588964474679</v>
      </c>
      <c r="AE99" s="105">
        <f t="shared" si="60"/>
        <v>14.1066666666667</v>
      </c>
      <c r="AF99" s="106">
        <f t="shared" si="61"/>
        <v>9.20102692352696</v>
      </c>
      <c r="AG99" s="106">
        <f t="shared" si="50"/>
        <v>0.719600619803477</v>
      </c>
      <c r="AH99" s="106">
        <f t="shared" si="51"/>
        <v>1.49297233793774</v>
      </c>
      <c r="AI99" s="107">
        <f t="shared" si="62"/>
        <v>2.21257295774122</v>
      </c>
      <c r="AJ99" s="105">
        <f t="shared" si="63"/>
        <v>1.84</v>
      </c>
      <c r="AK99" s="106">
        <f t="shared" si="64"/>
        <v>4.60460509792487</v>
      </c>
      <c r="AL99" s="106">
        <f t="shared" si="65"/>
        <v>0.598</v>
      </c>
      <c r="AM99" s="106">
        <f t="shared" si="52"/>
        <v>0</v>
      </c>
      <c r="AN99" s="107">
        <f t="shared" si="66"/>
        <v>0.598</v>
      </c>
      <c r="AO99" s="105">
        <f t="shared" si="53"/>
        <v>0.846588964474679</v>
      </c>
      <c r="AP99" s="106">
        <f t="shared" si="54"/>
        <v>0.0756</v>
      </c>
      <c r="AQ99" s="107">
        <f t="shared" si="67"/>
        <v>0.0132</v>
      </c>
      <c r="AR99" s="105">
        <f t="shared" si="68"/>
        <v>3.7459619222159</v>
      </c>
      <c r="AS99" s="106">
        <f t="shared" si="69"/>
        <v>36.8</v>
      </c>
      <c r="AT99" s="107">
        <f t="shared" si="70"/>
        <v>90.7611960732311</v>
      </c>
    </row>
    <row r="100" spans="17:46">
      <c r="Q100">
        <v>93</v>
      </c>
      <c r="R100" s="105">
        <f t="shared" si="43"/>
        <v>20</v>
      </c>
      <c r="S100" s="106">
        <f t="shared" si="44"/>
        <v>1.86</v>
      </c>
      <c r="T100" s="106">
        <f t="shared" si="45"/>
        <v>4</v>
      </c>
      <c r="U100" s="107">
        <f t="shared" si="46"/>
        <v>9.3</v>
      </c>
      <c r="V100" s="105">
        <f t="shared" si="47"/>
        <v>2</v>
      </c>
      <c r="W100" s="106">
        <f t="shared" si="48"/>
        <v>0.833333333333333</v>
      </c>
      <c r="X100" s="107">
        <f t="shared" si="49"/>
        <v>0.166666666666667</v>
      </c>
      <c r="Y100" s="105">
        <f t="shared" si="55"/>
        <v>0.476190476190476</v>
      </c>
      <c r="Z100" s="106">
        <f t="shared" si="56"/>
        <v>11.6361904761905</v>
      </c>
      <c r="AA100" s="106">
        <f t="shared" si="57"/>
        <v>9.3010158825511</v>
      </c>
      <c r="AB100" s="106">
        <v>0</v>
      </c>
      <c r="AC100" s="106">
        <f t="shared" si="58"/>
        <v>0.865088964474679</v>
      </c>
      <c r="AD100" s="107">
        <f t="shared" si="59"/>
        <v>0.865088964474679</v>
      </c>
      <c r="AE100" s="105">
        <f t="shared" si="60"/>
        <v>14.415</v>
      </c>
      <c r="AF100" s="106">
        <f t="shared" si="61"/>
        <v>9.3010158825511</v>
      </c>
      <c r="AG100" s="106">
        <f t="shared" si="50"/>
        <v>0.735325619803477</v>
      </c>
      <c r="AH100" s="106">
        <f t="shared" si="51"/>
        <v>1.50920029813272</v>
      </c>
      <c r="AI100" s="107">
        <f t="shared" si="62"/>
        <v>2.2445259179362</v>
      </c>
      <c r="AJ100" s="105">
        <f t="shared" si="63"/>
        <v>1.86</v>
      </c>
      <c r="AK100" s="106">
        <f t="shared" si="64"/>
        <v>4.65359129247074</v>
      </c>
      <c r="AL100" s="106">
        <f t="shared" si="65"/>
        <v>0.6045</v>
      </c>
      <c r="AM100" s="106">
        <f t="shared" si="52"/>
        <v>0</v>
      </c>
      <c r="AN100" s="107">
        <f t="shared" si="66"/>
        <v>0.6045</v>
      </c>
      <c r="AO100" s="105">
        <f t="shared" si="53"/>
        <v>0.865088964474679</v>
      </c>
      <c r="AP100" s="106">
        <f t="shared" si="54"/>
        <v>0.0756</v>
      </c>
      <c r="AQ100" s="107">
        <f t="shared" si="67"/>
        <v>0.0132</v>
      </c>
      <c r="AR100" s="105">
        <f t="shared" si="68"/>
        <v>3.80291488241088</v>
      </c>
      <c r="AS100" s="106">
        <f t="shared" si="69"/>
        <v>37.2</v>
      </c>
      <c r="AT100" s="107">
        <f t="shared" si="70"/>
        <v>90.7252572327676</v>
      </c>
    </row>
    <row r="101" spans="17:46">
      <c r="Q101">
        <v>94</v>
      </c>
      <c r="R101" s="105">
        <f t="shared" si="43"/>
        <v>20</v>
      </c>
      <c r="S101" s="106">
        <f t="shared" si="44"/>
        <v>1.88</v>
      </c>
      <c r="T101" s="106">
        <f t="shared" si="45"/>
        <v>4</v>
      </c>
      <c r="U101" s="107">
        <f t="shared" si="46"/>
        <v>9.4</v>
      </c>
      <c r="V101" s="105">
        <f t="shared" si="47"/>
        <v>2</v>
      </c>
      <c r="W101" s="106">
        <f t="shared" si="48"/>
        <v>0.833333333333333</v>
      </c>
      <c r="X101" s="107">
        <f t="shared" si="49"/>
        <v>0.166666666666667</v>
      </c>
      <c r="Y101" s="105">
        <f t="shared" si="55"/>
        <v>0.476190476190476</v>
      </c>
      <c r="Z101" s="106">
        <f t="shared" si="56"/>
        <v>11.7561904761905</v>
      </c>
      <c r="AA101" s="106">
        <f t="shared" si="57"/>
        <v>9.40100507645155</v>
      </c>
      <c r="AB101" s="106">
        <v>0</v>
      </c>
      <c r="AC101" s="106">
        <f t="shared" si="58"/>
        <v>0.883788964474679</v>
      </c>
      <c r="AD101" s="107">
        <f t="shared" si="59"/>
        <v>0.883788964474679</v>
      </c>
      <c r="AE101" s="105">
        <f t="shared" si="60"/>
        <v>14.7266666666667</v>
      </c>
      <c r="AF101" s="106">
        <f t="shared" si="61"/>
        <v>9.40100507645155</v>
      </c>
      <c r="AG101" s="106">
        <f t="shared" si="50"/>
        <v>0.751220619803477</v>
      </c>
      <c r="AH101" s="106">
        <f t="shared" si="51"/>
        <v>1.5254282583277</v>
      </c>
      <c r="AI101" s="107">
        <f t="shared" si="62"/>
        <v>2.27664887813117</v>
      </c>
      <c r="AJ101" s="105">
        <f t="shared" si="63"/>
        <v>1.88</v>
      </c>
      <c r="AK101" s="106">
        <f t="shared" si="64"/>
        <v>4.70257756202738</v>
      </c>
      <c r="AL101" s="106">
        <f t="shared" si="65"/>
        <v>0.611</v>
      </c>
      <c r="AM101" s="106">
        <f t="shared" si="52"/>
        <v>0</v>
      </c>
      <c r="AN101" s="107">
        <f t="shared" si="66"/>
        <v>0.611</v>
      </c>
      <c r="AO101" s="105">
        <f t="shared" si="53"/>
        <v>0.883788964474679</v>
      </c>
      <c r="AP101" s="106">
        <f t="shared" si="54"/>
        <v>0.0756</v>
      </c>
      <c r="AQ101" s="107">
        <f t="shared" si="67"/>
        <v>0.0132</v>
      </c>
      <c r="AR101" s="105">
        <f t="shared" si="68"/>
        <v>3.86023784260585</v>
      </c>
      <c r="AS101" s="106">
        <f t="shared" si="69"/>
        <v>37.6</v>
      </c>
      <c r="AT101" s="107">
        <f t="shared" si="70"/>
        <v>90.6893012595337</v>
      </c>
    </row>
    <row r="102" spans="17:46">
      <c r="Q102">
        <v>95</v>
      </c>
      <c r="R102" s="105">
        <f t="shared" si="43"/>
        <v>20</v>
      </c>
      <c r="S102" s="106">
        <f t="shared" si="44"/>
        <v>1.9</v>
      </c>
      <c r="T102" s="106">
        <f t="shared" si="45"/>
        <v>4</v>
      </c>
      <c r="U102" s="107">
        <f t="shared" si="46"/>
        <v>9.5</v>
      </c>
      <c r="V102" s="105">
        <f t="shared" si="47"/>
        <v>2</v>
      </c>
      <c r="W102" s="106">
        <f t="shared" si="48"/>
        <v>0.833333333333333</v>
      </c>
      <c r="X102" s="107">
        <f t="shared" si="49"/>
        <v>0.166666666666667</v>
      </c>
      <c r="Y102" s="105">
        <f t="shared" si="55"/>
        <v>0.476190476190476</v>
      </c>
      <c r="Z102" s="106">
        <f t="shared" si="56"/>
        <v>11.8761904761905</v>
      </c>
      <c r="AA102" s="106">
        <f t="shared" si="57"/>
        <v>9.50099449781274</v>
      </c>
      <c r="AB102" s="106">
        <v>0</v>
      </c>
      <c r="AC102" s="106">
        <f t="shared" si="58"/>
        <v>0.902688964474679</v>
      </c>
      <c r="AD102" s="107">
        <f t="shared" si="59"/>
        <v>0.902688964474679</v>
      </c>
      <c r="AE102" s="105">
        <f t="shared" si="60"/>
        <v>15.0416666666667</v>
      </c>
      <c r="AF102" s="106">
        <f t="shared" si="61"/>
        <v>9.50099449781274</v>
      </c>
      <c r="AG102" s="106">
        <f t="shared" si="50"/>
        <v>0.767285619803477</v>
      </c>
      <c r="AH102" s="106">
        <f t="shared" si="51"/>
        <v>1.54165621852267</v>
      </c>
      <c r="AI102" s="107">
        <f t="shared" si="62"/>
        <v>2.30894183832615</v>
      </c>
      <c r="AJ102" s="105">
        <f t="shared" si="63"/>
        <v>1.9</v>
      </c>
      <c r="AK102" s="106">
        <f t="shared" si="64"/>
        <v>4.7515639042748</v>
      </c>
      <c r="AL102" s="106">
        <f t="shared" si="65"/>
        <v>0.6175</v>
      </c>
      <c r="AM102" s="106">
        <f t="shared" si="52"/>
        <v>0</v>
      </c>
      <c r="AN102" s="107">
        <f t="shared" si="66"/>
        <v>0.6175</v>
      </c>
      <c r="AO102" s="105">
        <f t="shared" si="53"/>
        <v>0.902688964474679</v>
      </c>
      <c r="AP102" s="106">
        <f t="shared" si="54"/>
        <v>0.0756</v>
      </c>
      <c r="AQ102" s="107">
        <f t="shared" si="67"/>
        <v>0.0132</v>
      </c>
      <c r="AR102" s="105">
        <f t="shared" si="68"/>
        <v>3.91793080280083</v>
      </c>
      <c r="AS102" s="106">
        <f t="shared" si="69"/>
        <v>38</v>
      </c>
      <c r="AT102" s="107">
        <f t="shared" si="70"/>
        <v>90.6533296664084</v>
      </c>
    </row>
    <row r="103" spans="17:46">
      <c r="Q103">
        <v>96</v>
      </c>
      <c r="R103" s="105">
        <f t="shared" si="43"/>
        <v>20</v>
      </c>
      <c r="S103" s="106">
        <f t="shared" ref="S103:S134" si="71">Q103*$O$12</f>
        <v>1.92</v>
      </c>
      <c r="T103" s="106">
        <f t="shared" si="45"/>
        <v>4</v>
      </c>
      <c r="U103" s="107">
        <f t="shared" ref="U103:U134" si="72">(R103*S103)/(T103*EFF_est)</f>
        <v>9.6</v>
      </c>
      <c r="V103" s="105">
        <f t="shared" ref="V103:V134" si="73">IF(S103&lt;((T103^2)*R103)/(2*Fsw*Lm*((T103+R103)^2)),1,2)</f>
        <v>2</v>
      </c>
      <c r="W103" s="106">
        <f t="shared" ref="W103:W134" si="74">CHOOSE(V103,SQRT(2*Lm*R103*S103*Fsw)/T103,R103/(T103+R103))</f>
        <v>0.833333333333333</v>
      </c>
      <c r="X103" s="107">
        <f t="shared" ref="X103:X134" si="75">CHOOSE(V103,(Lm*Z103*Fsw)/(R103),1-W103)</f>
        <v>0.166666666666667</v>
      </c>
      <c r="Y103" s="105">
        <f t="shared" si="55"/>
        <v>0.476190476190476</v>
      </c>
      <c r="Z103" s="106">
        <f t="shared" si="56"/>
        <v>11.9961904761905</v>
      </c>
      <c r="AA103" s="106">
        <f t="shared" si="57"/>
        <v>9.60098413952798</v>
      </c>
      <c r="AB103" s="106">
        <v>0</v>
      </c>
      <c r="AC103" s="106">
        <f t="shared" si="58"/>
        <v>0.921788964474679</v>
      </c>
      <c r="AD103" s="107">
        <f t="shared" si="59"/>
        <v>0.921788964474679</v>
      </c>
      <c r="AE103" s="105">
        <f t="shared" si="60"/>
        <v>15.36</v>
      </c>
      <c r="AF103" s="106">
        <f t="shared" si="61"/>
        <v>9.60098413952798</v>
      </c>
      <c r="AG103" s="106">
        <f t="shared" ref="AG103:AG134" si="76">(AF103^2)*RDS_on</f>
        <v>0.783520619803477</v>
      </c>
      <c r="AH103" s="106">
        <f t="shared" ref="AH103:AH134" si="77">(((R103+T103)*(U103+S103))/2)*Fsw*(tr_sw+tf_sw)</f>
        <v>1.55788417871765</v>
      </c>
      <c r="AI103" s="107">
        <f t="shared" si="62"/>
        <v>2.34140479852112</v>
      </c>
      <c r="AJ103" s="105">
        <f t="shared" si="63"/>
        <v>1.92</v>
      </c>
      <c r="AK103" s="106">
        <f t="shared" si="64"/>
        <v>4.80055031698773</v>
      </c>
      <c r="AL103" s="106">
        <f t="shared" si="65"/>
        <v>0.624</v>
      </c>
      <c r="AM103" s="106">
        <f t="shared" ref="AM103:AM134" si="78">(R103+T103+Vd_rect)*Qrr*Fsw</f>
        <v>0</v>
      </c>
      <c r="AN103" s="107">
        <f t="shared" si="66"/>
        <v>0.624</v>
      </c>
      <c r="AO103" s="105">
        <f t="shared" ref="AO103:AO134" si="79">(AF103^2)*R_cs</f>
        <v>0.921788964474679</v>
      </c>
      <c r="AP103" s="106">
        <f t="shared" si="54"/>
        <v>0.0756</v>
      </c>
      <c r="AQ103" s="107">
        <f t="shared" si="67"/>
        <v>0.0132</v>
      </c>
      <c r="AR103" s="105">
        <f t="shared" si="68"/>
        <v>3.9759937629958</v>
      </c>
      <c r="AS103" s="106">
        <f t="shared" si="69"/>
        <v>38.4</v>
      </c>
      <c r="AT103" s="107">
        <f t="shared" si="70"/>
        <v>90.6173439017546</v>
      </c>
    </row>
    <row r="104" spans="17:46">
      <c r="Q104">
        <v>97</v>
      </c>
      <c r="R104" s="105">
        <f t="shared" si="43"/>
        <v>20</v>
      </c>
      <c r="S104" s="106">
        <f t="shared" si="71"/>
        <v>1.94</v>
      </c>
      <c r="T104" s="106">
        <f t="shared" si="45"/>
        <v>4</v>
      </c>
      <c r="U104" s="107">
        <f t="shared" si="72"/>
        <v>9.7</v>
      </c>
      <c r="V104" s="105">
        <f t="shared" si="73"/>
        <v>2</v>
      </c>
      <c r="W104" s="106">
        <f t="shared" si="74"/>
        <v>0.833333333333333</v>
      </c>
      <c r="X104" s="107">
        <f t="shared" si="75"/>
        <v>0.166666666666667</v>
      </c>
      <c r="Y104" s="105">
        <f t="shared" si="55"/>
        <v>0.476190476190476</v>
      </c>
      <c r="Z104" s="106">
        <f t="shared" si="56"/>
        <v>12.1161904761905</v>
      </c>
      <c r="AA104" s="106">
        <f t="shared" si="57"/>
        <v>9.70097399478361</v>
      </c>
      <c r="AB104" s="106">
        <v>0</v>
      </c>
      <c r="AC104" s="106">
        <f t="shared" si="58"/>
        <v>0.941088964474679</v>
      </c>
      <c r="AD104" s="107">
        <f t="shared" si="59"/>
        <v>0.941088964474679</v>
      </c>
      <c r="AE104" s="105">
        <f t="shared" si="60"/>
        <v>15.6816666666667</v>
      </c>
      <c r="AF104" s="106">
        <f t="shared" si="61"/>
        <v>9.70097399478361</v>
      </c>
      <c r="AG104" s="106">
        <f t="shared" si="76"/>
        <v>0.799925619803477</v>
      </c>
      <c r="AH104" s="106">
        <f t="shared" si="77"/>
        <v>1.57411213891262</v>
      </c>
      <c r="AI104" s="107">
        <f t="shared" si="62"/>
        <v>2.3740377587161</v>
      </c>
      <c r="AJ104" s="105">
        <f t="shared" si="63"/>
        <v>1.94</v>
      </c>
      <c r="AK104" s="106">
        <f t="shared" si="64"/>
        <v>4.84953679803079</v>
      </c>
      <c r="AL104" s="106">
        <f t="shared" si="65"/>
        <v>0.6305</v>
      </c>
      <c r="AM104" s="106">
        <f t="shared" si="78"/>
        <v>0</v>
      </c>
      <c r="AN104" s="107">
        <f t="shared" si="66"/>
        <v>0.6305</v>
      </c>
      <c r="AO104" s="105">
        <f t="shared" si="79"/>
        <v>0.941088964474679</v>
      </c>
      <c r="AP104" s="106">
        <f t="shared" si="54"/>
        <v>0.0756</v>
      </c>
      <c r="AQ104" s="107">
        <f t="shared" si="67"/>
        <v>0.0132</v>
      </c>
      <c r="AR104" s="105">
        <f t="shared" si="68"/>
        <v>4.03442672319078</v>
      </c>
      <c r="AS104" s="106">
        <f t="shared" si="69"/>
        <v>38.8</v>
      </c>
      <c r="AT104" s="107">
        <f t="shared" si="70"/>
        <v>90.5813453527405</v>
      </c>
    </row>
    <row r="105" spans="17:46">
      <c r="Q105">
        <v>98</v>
      </c>
      <c r="R105" s="105">
        <f t="shared" si="43"/>
        <v>20</v>
      </c>
      <c r="S105" s="106">
        <f t="shared" si="71"/>
        <v>1.96</v>
      </c>
      <c r="T105" s="106">
        <f t="shared" si="45"/>
        <v>4</v>
      </c>
      <c r="U105" s="107">
        <f t="shared" si="72"/>
        <v>9.8</v>
      </c>
      <c r="V105" s="105">
        <f t="shared" si="73"/>
        <v>2</v>
      </c>
      <c r="W105" s="106">
        <f t="shared" si="74"/>
        <v>0.833333333333333</v>
      </c>
      <c r="X105" s="107">
        <f t="shared" si="75"/>
        <v>0.166666666666667</v>
      </c>
      <c r="Y105" s="105">
        <f t="shared" si="55"/>
        <v>0.476190476190476</v>
      </c>
      <c r="Z105" s="106">
        <f t="shared" si="56"/>
        <v>12.2361904761905</v>
      </c>
      <c r="AA105" s="106">
        <f t="shared" si="57"/>
        <v>9.80096405704398</v>
      </c>
      <c r="AB105" s="106">
        <v>0</v>
      </c>
      <c r="AC105" s="106">
        <f t="shared" si="58"/>
        <v>0.960588964474679</v>
      </c>
      <c r="AD105" s="107">
        <f t="shared" si="59"/>
        <v>0.960588964474679</v>
      </c>
      <c r="AE105" s="105">
        <f t="shared" si="60"/>
        <v>16.0066666666667</v>
      </c>
      <c r="AF105" s="106">
        <f t="shared" si="61"/>
        <v>9.80096405704398</v>
      </c>
      <c r="AG105" s="106">
        <f t="shared" si="76"/>
        <v>0.816500619803477</v>
      </c>
      <c r="AH105" s="106">
        <f t="shared" si="77"/>
        <v>1.5903400991076</v>
      </c>
      <c r="AI105" s="107">
        <f t="shared" si="62"/>
        <v>2.40684071891107</v>
      </c>
      <c r="AJ105" s="105">
        <f t="shared" si="63"/>
        <v>1.96</v>
      </c>
      <c r="AK105" s="106">
        <f t="shared" si="64"/>
        <v>4.89852334535404</v>
      </c>
      <c r="AL105" s="106">
        <f t="shared" si="65"/>
        <v>0.637</v>
      </c>
      <c r="AM105" s="106">
        <f t="shared" si="78"/>
        <v>0</v>
      </c>
      <c r="AN105" s="107">
        <f t="shared" si="66"/>
        <v>0.637</v>
      </c>
      <c r="AO105" s="105">
        <f t="shared" si="79"/>
        <v>0.960588964474679</v>
      </c>
      <c r="AP105" s="106">
        <f t="shared" si="54"/>
        <v>0.0756</v>
      </c>
      <c r="AQ105" s="107">
        <f t="shared" si="67"/>
        <v>0.0132</v>
      </c>
      <c r="AR105" s="105">
        <f t="shared" si="68"/>
        <v>4.09322968338575</v>
      </c>
      <c r="AS105" s="106">
        <f t="shared" si="69"/>
        <v>39.2</v>
      </c>
      <c r="AT105" s="107">
        <f t="shared" si="70"/>
        <v>90.5453353484585</v>
      </c>
    </row>
    <row r="106" spans="17:46">
      <c r="Q106">
        <v>99</v>
      </c>
      <c r="R106" s="105">
        <f t="shared" si="43"/>
        <v>20</v>
      </c>
      <c r="S106" s="106">
        <f t="shared" si="71"/>
        <v>1.98</v>
      </c>
      <c r="T106" s="106">
        <f t="shared" si="45"/>
        <v>4</v>
      </c>
      <c r="U106" s="107">
        <f t="shared" si="72"/>
        <v>9.9</v>
      </c>
      <c r="V106" s="105">
        <f t="shared" si="73"/>
        <v>2</v>
      </c>
      <c r="W106" s="106">
        <f t="shared" si="74"/>
        <v>0.833333333333333</v>
      </c>
      <c r="X106" s="107">
        <f t="shared" si="75"/>
        <v>0.166666666666667</v>
      </c>
      <c r="Y106" s="105">
        <f t="shared" si="55"/>
        <v>0.476190476190476</v>
      </c>
      <c r="Z106" s="106">
        <f t="shared" si="56"/>
        <v>12.3561904761905</v>
      </c>
      <c r="AA106" s="106">
        <f t="shared" si="57"/>
        <v>9.90095432003743</v>
      </c>
      <c r="AB106" s="106">
        <v>0</v>
      </c>
      <c r="AC106" s="106">
        <f t="shared" si="58"/>
        <v>0.980288964474679</v>
      </c>
      <c r="AD106" s="107">
        <f t="shared" si="59"/>
        <v>0.980288964474679</v>
      </c>
      <c r="AE106" s="105">
        <f t="shared" si="60"/>
        <v>16.335</v>
      </c>
      <c r="AF106" s="106">
        <f t="shared" si="61"/>
        <v>9.90095432003743</v>
      </c>
      <c r="AG106" s="106">
        <f t="shared" si="76"/>
        <v>0.833245619803477</v>
      </c>
      <c r="AH106" s="106">
        <f t="shared" si="77"/>
        <v>1.60656805930257</v>
      </c>
      <c r="AI106" s="107">
        <f t="shared" si="62"/>
        <v>2.43981367910605</v>
      </c>
      <c r="AJ106" s="105">
        <f t="shared" si="63"/>
        <v>1.98</v>
      </c>
      <c r="AK106" s="106">
        <f t="shared" si="64"/>
        <v>4.94750995698871</v>
      </c>
      <c r="AL106" s="106">
        <f t="shared" si="65"/>
        <v>0.6435</v>
      </c>
      <c r="AM106" s="106">
        <f t="shared" si="78"/>
        <v>0</v>
      </c>
      <c r="AN106" s="107">
        <f t="shared" si="66"/>
        <v>0.6435</v>
      </c>
      <c r="AO106" s="105">
        <f t="shared" si="79"/>
        <v>0.980288964474679</v>
      </c>
      <c r="AP106" s="106">
        <f t="shared" si="54"/>
        <v>0.0756</v>
      </c>
      <c r="AQ106" s="107">
        <f t="shared" si="67"/>
        <v>0.0132</v>
      </c>
      <c r="AR106" s="105">
        <f t="shared" si="68"/>
        <v>4.15240264358073</v>
      </c>
      <c r="AS106" s="106">
        <f t="shared" si="69"/>
        <v>39.6</v>
      </c>
      <c r="AT106" s="107">
        <f t="shared" si="70"/>
        <v>90.5093151628555</v>
      </c>
    </row>
    <row r="107" spans="17:46">
      <c r="Q107">
        <v>100</v>
      </c>
      <c r="R107" s="105">
        <f t="shared" si="43"/>
        <v>20</v>
      </c>
      <c r="S107" s="106">
        <f t="shared" si="71"/>
        <v>2</v>
      </c>
      <c r="T107" s="106">
        <f t="shared" si="45"/>
        <v>4</v>
      </c>
      <c r="U107" s="107">
        <f t="shared" si="72"/>
        <v>10</v>
      </c>
      <c r="V107" s="105">
        <f t="shared" si="73"/>
        <v>2</v>
      </c>
      <c r="W107" s="106">
        <f t="shared" si="74"/>
        <v>0.833333333333333</v>
      </c>
      <c r="X107" s="107">
        <f t="shared" si="75"/>
        <v>0.166666666666667</v>
      </c>
      <c r="Y107" s="105">
        <f t="shared" si="55"/>
        <v>0.476190476190476</v>
      </c>
      <c r="Z107" s="106">
        <f t="shared" si="56"/>
        <v>12.4761904761905</v>
      </c>
      <c r="AA107" s="106">
        <f t="shared" si="57"/>
        <v>10.0009447777431</v>
      </c>
      <c r="AB107" s="106">
        <v>0</v>
      </c>
      <c r="AC107" s="106">
        <f t="shared" si="58"/>
        <v>1.00018896447468</v>
      </c>
      <c r="AD107" s="107">
        <f t="shared" si="59"/>
        <v>1.00018896447468</v>
      </c>
      <c r="AE107" s="105">
        <f t="shared" si="60"/>
        <v>16.6666666666667</v>
      </c>
      <c r="AF107" s="106">
        <f t="shared" si="61"/>
        <v>10.0009447777431</v>
      </c>
      <c r="AG107" s="106">
        <f t="shared" si="76"/>
        <v>0.850160619803477</v>
      </c>
      <c r="AH107" s="106">
        <f t="shared" si="77"/>
        <v>1.62279601949755</v>
      </c>
      <c r="AI107" s="107">
        <f t="shared" si="62"/>
        <v>2.47295663930102</v>
      </c>
      <c r="AJ107" s="105">
        <f t="shared" si="63"/>
        <v>2</v>
      </c>
      <c r="AK107" s="106">
        <f t="shared" si="64"/>
        <v>4.99649663104321</v>
      </c>
      <c r="AL107" s="106">
        <f t="shared" si="65"/>
        <v>0.65</v>
      </c>
      <c r="AM107" s="106">
        <f t="shared" si="78"/>
        <v>0</v>
      </c>
      <c r="AN107" s="107">
        <f t="shared" si="66"/>
        <v>0.65</v>
      </c>
      <c r="AO107" s="105">
        <f t="shared" si="79"/>
        <v>1.00018896447468</v>
      </c>
      <c r="AP107" s="106">
        <f t="shared" si="54"/>
        <v>0.0756</v>
      </c>
      <c r="AQ107" s="107">
        <f t="shared" si="67"/>
        <v>0.0132</v>
      </c>
      <c r="AR107" s="105">
        <f t="shared" si="68"/>
        <v>4.2119456037757</v>
      </c>
      <c r="AS107" s="106">
        <f t="shared" si="69"/>
        <v>40</v>
      </c>
      <c r="AT107" s="107">
        <f t="shared" si="70"/>
        <v>90.4732860174875</v>
      </c>
    </row>
    <row r="108" spans="17:46">
      <c r="Q108">
        <v>101</v>
      </c>
      <c r="R108" s="105">
        <f t="shared" si="43"/>
        <v>20</v>
      </c>
      <c r="S108" s="106">
        <f t="shared" si="71"/>
        <v>2.02</v>
      </c>
      <c r="T108" s="106">
        <f t="shared" si="45"/>
        <v>4</v>
      </c>
      <c r="U108" s="107">
        <f t="shared" si="72"/>
        <v>10.1</v>
      </c>
      <c r="V108" s="105">
        <f t="shared" si="73"/>
        <v>2</v>
      </c>
      <c r="W108" s="106">
        <f t="shared" si="74"/>
        <v>0.833333333333333</v>
      </c>
      <c r="X108" s="107">
        <f t="shared" si="75"/>
        <v>0.166666666666667</v>
      </c>
      <c r="Y108" s="105">
        <f t="shared" si="55"/>
        <v>0.476190476190476</v>
      </c>
      <c r="Z108" s="106">
        <f t="shared" si="56"/>
        <v>12.5961904761905</v>
      </c>
      <c r="AA108" s="106">
        <f t="shared" si="57"/>
        <v>10.1009354243787</v>
      </c>
      <c r="AB108" s="106">
        <v>0</v>
      </c>
      <c r="AC108" s="106">
        <f t="shared" si="58"/>
        <v>1.02028896447468</v>
      </c>
      <c r="AD108" s="107">
        <f t="shared" si="59"/>
        <v>1.02028896447468</v>
      </c>
      <c r="AE108" s="105">
        <f t="shared" si="60"/>
        <v>17.0016666666667</v>
      </c>
      <c r="AF108" s="106">
        <f t="shared" si="61"/>
        <v>10.1009354243787</v>
      </c>
      <c r="AG108" s="106">
        <f t="shared" si="76"/>
        <v>0.867245619803477</v>
      </c>
      <c r="AH108" s="106">
        <f t="shared" si="77"/>
        <v>1.63902397969252</v>
      </c>
      <c r="AI108" s="107">
        <f t="shared" si="62"/>
        <v>2.506269599496</v>
      </c>
      <c r="AJ108" s="105">
        <f t="shared" si="63"/>
        <v>2.02</v>
      </c>
      <c r="AK108" s="106">
        <f t="shared" si="64"/>
        <v>5.04548336569946</v>
      </c>
      <c r="AL108" s="106">
        <f t="shared" si="65"/>
        <v>0.6565</v>
      </c>
      <c r="AM108" s="106">
        <f t="shared" si="78"/>
        <v>0</v>
      </c>
      <c r="AN108" s="107">
        <f t="shared" si="66"/>
        <v>0.6565</v>
      </c>
      <c r="AO108" s="105">
        <f t="shared" si="79"/>
        <v>1.02028896447468</v>
      </c>
      <c r="AP108" s="106">
        <f t="shared" si="54"/>
        <v>0.0756</v>
      </c>
      <c r="AQ108" s="107">
        <f t="shared" si="67"/>
        <v>0.0132</v>
      </c>
      <c r="AR108" s="105">
        <f t="shared" si="68"/>
        <v>4.27185856397068</v>
      </c>
      <c r="AS108" s="106">
        <f t="shared" si="69"/>
        <v>40.4</v>
      </c>
      <c r="AT108" s="107">
        <f t="shared" si="70"/>
        <v>90.4372490841111</v>
      </c>
    </row>
    <row r="109" spans="17:46">
      <c r="Q109">
        <v>102</v>
      </c>
      <c r="R109" s="105">
        <f t="shared" si="43"/>
        <v>20</v>
      </c>
      <c r="S109" s="106">
        <f t="shared" si="71"/>
        <v>2.04</v>
      </c>
      <c r="T109" s="106">
        <f t="shared" si="45"/>
        <v>4</v>
      </c>
      <c r="U109" s="107">
        <f t="shared" si="72"/>
        <v>10.2</v>
      </c>
      <c r="V109" s="105">
        <f t="shared" si="73"/>
        <v>2</v>
      </c>
      <c r="W109" s="106">
        <f t="shared" si="74"/>
        <v>0.833333333333333</v>
      </c>
      <c r="X109" s="107">
        <f t="shared" si="75"/>
        <v>0.166666666666667</v>
      </c>
      <c r="Y109" s="105">
        <f t="shared" si="55"/>
        <v>0.476190476190476</v>
      </c>
      <c r="Z109" s="106">
        <f t="shared" si="56"/>
        <v>12.7161904761905</v>
      </c>
      <c r="AA109" s="106">
        <f t="shared" si="57"/>
        <v>10.2009262543883</v>
      </c>
      <c r="AB109" s="106">
        <v>0</v>
      </c>
      <c r="AC109" s="106">
        <f t="shared" si="58"/>
        <v>1.04058896447468</v>
      </c>
      <c r="AD109" s="107">
        <f t="shared" si="59"/>
        <v>1.04058896447468</v>
      </c>
      <c r="AE109" s="105">
        <f t="shared" si="60"/>
        <v>17.34</v>
      </c>
      <c r="AF109" s="106">
        <f t="shared" si="61"/>
        <v>10.2009262543883</v>
      </c>
      <c r="AG109" s="106">
        <f t="shared" si="76"/>
        <v>0.884500619803477</v>
      </c>
      <c r="AH109" s="106">
        <f t="shared" si="77"/>
        <v>1.6552519398875</v>
      </c>
      <c r="AI109" s="107">
        <f t="shared" si="62"/>
        <v>2.53975255969098</v>
      </c>
      <c r="AJ109" s="105">
        <f t="shared" si="63"/>
        <v>2.04</v>
      </c>
      <c r="AK109" s="106">
        <f t="shared" si="64"/>
        <v>5.09447015920928</v>
      </c>
      <c r="AL109" s="106">
        <f t="shared" si="65"/>
        <v>0.663</v>
      </c>
      <c r="AM109" s="106">
        <f t="shared" si="78"/>
        <v>0</v>
      </c>
      <c r="AN109" s="107">
        <f t="shared" si="66"/>
        <v>0.663</v>
      </c>
      <c r="AO109" s="105">
        <f t="shared" si="79"/>
        <v>1.04058896447468</v>
      </c>
      <c r="AP109" s="106">
        <f t="shared" si="54"/>
        <v>0.0756</v>
      </c>
      <c r="AQ109" s="107">
        <f t="shared" si="67"/>
        <v>0.0132</v>
      </c>
      <c r="AR109" s="105">
        <f t="shared" si="68"/>
        <v>4.33214152416565</v>
      </c>
      <c r="AS109" s="106">
        <f t="shared" si="69"/>
        <v>40.8</v>
      </c>
      <c r="AT109" s="107">
        <f t="shared" si="70"/>
        <v>90.4012054871226</v>
      </c>
    </row>
    <row r="110" spans="17:46">
      <c r="Q110">
        <v>103</v>
      </c>
      <c r="R110" s="105">
        <f t="shared" si="43"/>
        <v>20</v>
      </c>
      <c r="S110" s="106">
        <f t="shared" si="71"/>
        <v>2.06</v>
      </c>
      <c r="T110" s="106">
        <f t="shared" si="45"/>
        <v>4</v>
      </c>
      <c r="U110" s="107">
        <f t="shared" si="72"/>
        <v>10.3</v>
      </c>
      <c r="V110" s="105">
        <f t="shared" si="73"/>
        <v>2</v>
      </c>
      <c r="W110" s="106">
        <f t="shared" si="74"/>
        <v>0.833333333333333</v>
      </c>
      <c r="X110" s="107">
        <f t="shared" si="75"/>
        <v>0.166666666666667</v>
      </c>
      <c r="Y110" s="105">
        <f t="shared" si="55"/>
        <v>0.476190476190476</v>
      </c>
      <c r="Z110" s="106">
        <f t="shared" si="56"/>
        <v>12.8361904761905</v>
      </c>
      <c r="AA110" s="106">
        <f t="shared" si="57"/>
        <v>10.3009172624319</v>
      </c>
      <c r="AB110" s="106">
        <v>0</v>
      </c>
      <c r="AC110" s="106">
        <f t="shared" si="58"/>
        <v>1.06108896447468</v>
      </c>
      <c r="AD110" s="107">
        <f t="shared" si="59"/>
        <v>1.06108896447468</v>
      </c>
      <c r="AE110" s="105">
        <f t="shared" si="60"/>
        <v>17.6816666666667</v>
      </c>
      <c r="AF110" s="106">
        <f t="shared" si="61"/>
        <v>10.3009172624319</v>
      </c>
      <c r="AG110" s="106">
        <f t="shared" si="76"/>
        <v>0.901925619803477</v>
      </c>
      <c r="AH110" s="106">
        <f t="shared" si="77"/>
        <v>1.67147990008247</v>
      </c>
      <c r="AI110" s="107">
        <f t="shared" si="62"/>
        <v>2.57340551988595</v>
      </c>
      <c r="AJ110" s="105">
        <f t="shared" si="63"/>
        <v>2.06</v>
      </c>
      <c r="AK110" s="106">
        <f t="shared" si="64"/>
        <v>5.14345700989107</v>
      </c>
      <c r="AL110" s="106">
        <f t="shared" si="65"/>
        <v>0.6695</v>
      </c>
      <c r="AM110" s="106">
        <f t="shared" si="78"/>
        <v>0</v>
      </c>
      <c r="AN110" s="107">
        <f t="shared" si="66"/>
        <v>0.6695</v>
      </c>
      <c r="AO110" s="105">
        <f t="shared" si="79"/>
        <v>1.06108896447468</v>
      </c>
      <c r="AP110" s="106">
        <f t="shared" si="54"/>
        <v>0.0756</v>
      </c>
      <c r="AQ110" s="107">
        <f t="shared" si="67"/>
        <v>0.0132</v>
      </c>
      <c r="AR110" s="105">
        <f t="shared" si="68"/>
        <v>4.39279448436063</v>
      </c>
      <c r="AS110" s="106">
        <f t="shared" si="69"/>
        <v>41.2</v>
      </c>
      <c r="AT110" s="107">
        <f t="shared" si="70"/>
        <v>90.3651563058556</v>
      </c>
    </row>
    <row r="111" spans="17:46">
      <c r="Q111">
        <v>104</v>
      </c>
      <c r="R111" s="105">
        <f t="shared" si="43"/>
        <v>20</v>
      </c>
      <c r="S111" s="106">
        <f t="shared" si="71"/>
        <v>2.08</v>
      </c>
      <c r="T111" s="106">
        <f t="shared" si="45"/>
        <v>4</v>
      </c>
      <c r="U111" s="107">
        <f t="shared" si="72"/>
        <v>10.4</v>
      </c>
      <c r="V111" s="105">
        <f t="shared" si="73"/>
        <v>2</v>
      </c>
      <c r="W111" s="106">
        <f t="shared" si="74"/>
        <v>0.833333333333333</v>
      </c>
      <c r="X111" s="107">
        <f t="shared" si="75"/>
        <v>0.166666666666667</v>
      </c>
      <c r="Y111" s="105">
        <f t="shared" si="55"/>
        <v>0.476190476190476</v>
      </c>
      <c r="Z111" s="106">
        <f t="shared" si="56"/>
        <v>12.9561904761905</v>
      </c>
      <c r="AA111" s="106">
        <f t="shared" si="57"/>
        <v>10.4009084433749</v>
      </c>
      <c r="AB111" s="106">
        <v>0</v>
      </c>
      <c r="AC111" s="106">
        <f t="shared" si="58"/>
        <v>1.08178896447468</v>
      </c>
      <c r="AD111" s="107">
        <f t="shared" si="59"/>
        <v>1.08178896447468</v>
      </c>
      <c r="AE111" s="105">
        <f t="shared" si="60"/>
        <v>18.0266666666667</v>
      </c>
      <c r="AF111" s="106">
        <f t="shared" si="61"/>
        <v>10.4009084433749</v>
      </c>
      <c r="AG111" s="106">
        <f t="shared" si="76"/>
        <v>0.919520619803477</v>
      </c>
      <c r="AH111" s="106">
        <f t="shared" si="77"/>
        <v>1.68770786027745</v>
      </c>
      <c r="AI111" s="107">
        <f t="shared" si="62"/>
        <v>2.60722848008093</v>
      </c>
      <c r="AJ111" s="105">
        <f t="shared" si="63"/>
        <v>2.08</v>
      </c>
      <c r="AK111" s="106">
        <f t="shared" si="64"/>
        <v>5.19244391612672</v>
      </c>
      <c r="AL111" s="106">
        <f t="shared" si="65"/>
        <v>0.676</v>
      </c>
      <c r="AM111" s="106">
        <f t="shared" si="78"/>
        <v>0</v>
      </c>
      <c r="AN111" s="107">
        <f t="shared" si="66"/>
        <v>0.676</v>
      </c>
      <c r="AO111" s="105">
        <f t="shared" si="79"/>
        <v>1.08178896447468</v>
      </c>
      <c r="AP111" s="106">
        <f t="shared" si="54"/>
        <v>0.0756</v>
      </c>
      <c r="AQ111" s="107">
        <f t="shared" si="67"/>
        <v>0.0132</v>
      </c>
      <c r="AR111" s="105">
        <f t="shared" si="68"/>
        <v>4.45381744455561</v>
      </c>
      <c r="AS111" s="106">
        <f t="shared" si="69"/>
        <v>41.6</v>
      </c>
      <c r="AT111" s="107">
        <f t="shared" si="70"/>
        <v>90.3291025767461</v>
      </c>
    </row>
    <row r="112" spans="17:46">
      <c r="Q112">
        <v>105</v>
      </c>
      <c r="R112" s="105">
        <f t="shared" si="43"/>
        <v>20</v>
      </c>
      <c r="S112" s="106">
        <f t="shared" si="71"/>
        <v>2.1</v>
      </c>
      <c r="T112" s="106">
        <f t="shared" si="45"/>
        <v>4</v>
      </c>
      <c r="U112" s="107">
        <f t="shared" si="72"/>
        <v>10.5</v>
      </c>
      <c r="V112" s="105">
        <f t="shared" si="73"/>
        <v>2</v>
      </c>
      <c r="W112" s="106">
        <f t="shared" si="74"/>
        <v>0.833333333333333</v>
      </c>
      <c r="X112" s="107">
        <f t="shared" si="75"/>
        <v>0.166666666666667</v>
      </c>
      <c r="Y112" s="105">
        <f t="shared" si="55"/>
        <v>0.476190476190476</v>
      </c>
      <c r="Z112" s="106">
        <f t="shared" si="56"/>
        <v>13.0761904761905</v>
      </c>
      <c r="AA112" s="106">
        <f t="shared" si="57"/>
        <v>10.5008997922782</v>
      </c>
      <c r="AB112" s="106">
        <v>0</v>
      </c>
      <c r="AC112" s="106">
        <f t="shared" si="58"/>
        <v>1.10268896447468</v>
      </c>
      <c r="AD112" s="107">
        <f t="shared" si="59"/>
        <v>1.10268896447468</v>
      </c>
      <c r="AE112" s="105">
        <f t="shared" si="60"/>
        <v>18.375</v>
      </c>
      <c r="AF112" s="106">
        <f t="shared" si="61"/>
        <v>10.5008997922782</v>
      </c>
      <c r="AG112" s="106">
        <f t="shared" si="76"/>
        <v>0.937285619803477</v>
      </c>
      <c r="AH112" s="106">
        <f t="shared" si="77"/>
        <v>1.70393582047243</v>
      </c>
      <c r="AI112" s="107">
        <f t="shared" si="62"/>
        <v>2.6412214402759</v>
      </c>
      <c r="AJ112" s="105">
        <f t="shared" si="63"/>
        <v>2.1</v>
      </c>
      <c r="AK112" s="106">
        <f t="shared" si="64"/>
        <v>5.2414308763586</v>
      </c>
      <c r="AL112" s="106">
        <f t="shared" si="65"/>
        <v>0.6825</v>
      </c>
      <c r="AM112" s="106">
        <f t="shared" si="78"/>
        <v>0</v>
      </c>
      <c r="AN112" s="107">
        <f t="shared" si="66"/>
        <v>0.6825</v>
      </c>
      <c r="AO112" s="105">
        <f t="shared" si="79"/>
        <v>1.10268896447468</v>
      </c>
      <c r="AP112" s="106">
        <f t="shared" si="54"/>
        <v>0.0756</v>
      </c>
      <c r="AQ112" s="107">
        <f t="shared" si="67"/>
        <v>0.0132</v>
      </c>
      <c r="AR112" s="105">
        <f t="shared" si="68"/>
        <v>4.51521040475058</v>
      </c>
      <c r="AS112" s="106">
        <f t="shared" si="69"/>
        <v>42</v>
      </c>
      <c r="AT112" s="107">
        <f t="shared" si="70"/>
        <v>90.2930452953741</v>
      </c>
    </row>
    <row r="113" spans="17:46">
      <c r="Q113">
        <v>106</v>
      </c>
      <c r="R113" s="105">
        <f t="shared" si="43"/>
        <v>20</v>
      </c>
      <c r="S113" s="106">
        <f t="shared" si="71"/>
        <v>2.12</v>
      </c>
      <c r="T113" s="106">
        <f t="shared" si="45"/>
        <v>4</v>
      </c>
      <c r="U113" s="107">
        <f t="shared" si="72"/>
        <v>10.6</v>
      </c>
      <c r="V113" s="105">
        <f t="shared" si="73"/>
        <v>2</v>
      </c>
      <c r="W113" s="106">
        <f t="shared" si="74"/>
        <v>0.833333333333333</v>
      </c>
      <c r="X113" s="107">
        <f t="shared" si="75"/>
        <v>0.166666666666667</v>
      </c>
      <c r="Y113" s="105">
        <f t="shared" si="55"/>
        <v>0.476190476190476</v>
      </c>
      <c r="Z113" s="106">
        <f t="shared" si="56"/>
        <v>13.1961904761905</v>
      </c>
      <c r="AA113" s="106">
        <f t="shared" si="57"/>
        <v>10.6008913043889</v>
      </c>
      <c r="AB113" s="106">
        <v>0</v>
      </c>
      <c r="AC113" s="106">
        <f t="shared" si="58"/>
        <v>1.12378896447468</v>
      </c>
      <c r="AD113" s="107">
        <f t="shared" si="59"/>
        <v>1.12378896447468</v>
      </c>
      <c r="AE113" s="105">
        <f t="shared" si="60"/>
        <v>18.7266666666667</v>
      </c>
      <c r="AF113" s="106">
        <f t="shared" si="61"/>
        <v>10.6008913043889</v>
      </c>
      <c r="AG113" s="106">
        <f t="shared" si="76"/>
        <v>0.955220619803477</v>
      </c>
      <c r="AH113" s="106">
        <f t="shared" si="77"/>
        <v>1.7201637806674</v>
      </c>
      <c r="AI113" s="107">
        <f t="shared" si="62"/>
        <v>2.67538440047088</v>
      </c>
      <c r="AJ113" s="105">
        <f t="shared" si="63"/>
        <v>2.12</v>
      </c>
      <c r="AK113" s="106">
        <f t="shared" si="64"/>
        <v>5.29041788908675</v>
      </c>
      <c r="AL113" s="106">
        <f t="shared" si="65"/>
        <v>0.689</v>
      </c>
      <c r="AM113" s="106">
        <f t="shared" si="78"/>
        <v>0</v>
      </c>
      <c r="AN113" s="107">
        <f t="shared" si="66"/>
        <v>0.689</v>
      </c>
      <c r="AO113" s="105">
        <f t="shared" si="79"/>
        <v>1.12378896447468</v>
      </c>
      <c r="AP113" s="106">
        <f t="shared" si="54"/>
        <v>0.0756</v>
      </c>
      <c r="AQ113" s="107">
        <f t="shared" si="67"/>
        <v>0.0132</v>
      </c>
      <c r="AR113" s="105">
        <f t="shared" si="68"/>
        <v>4.57697336494556</v>
      </c>
      <c r="AS113" s="106">
        <f t="shared" si="69"/>
        <v>42.4</v>
      </c>
      <c r="AT113" s="107">
        <f t="shared" si="70"/>
        <v>90.2569854183903</v>
      </c>
    </row>
    <row r="114" spans="17:46">
      <c r="Q114">
        <v>107</v>
      </c>
      <c r="R114" s="105">
        <f t="shared" si="43"/>
        <v>20</v>
      </c>
      <c r="S114" s="106">
        <f t="shared" si="71"/>
        <v>2.14</v>
      </c>
      <c r="T114" s="106">
        <f t="shared" si="45"/>
        <v>4</v>
      </c>
      <c r="U114" s="107">
        <f t="shared" si="72"/>
        <v>10.7</v>
      </c>
      <c r="V114" s="105">
        <f t="shared" si="73"/>
        <v>2</v>
      </c>
      <c r="W114" s="106">
        <f t="shared" si="74"/>
        <v>0.833333333333333</v>
      </c>
      <c r="X114" s="107">
        <f t="shared" si="75"/>
        <v>0.166666666666667</v>
      </c>
      <c r="Y114" s="105">
        <f t="shared" si="55"/>
        <v>0.476190476190476</v>
      </c>
      <c r="Z114" s="106">
        <f t="shared" si="56"/>
        <v>13.3161904761905</v>
      </c>
      <c r="AA114" s="106">
        <f t="shared" si="57"/>
        <v>10.7008829751319</v>
      </c>
      <c r="AB114" s="106">
        <v>0</v>
      </c>
      <c r="AC114" s="106">
        <f t="shared" si="58"/>
        <v>1.14508896447468</v>
      </c>
      <c r="AD114" s="107">
        <f t="shared" si="59"/>
        <v>1.14508896447468</v>
      </c>
      <c r="AE114" s="105">
        <f t="shared" si="60"/>
        <v>19.0816666666667</v>
      </c>
      <c r="AF114" s="106">
        <f t="shared" si="61"/>
        <v>10.7008829751319</v>
      </c>
      <c r="AG114" s="106">
        <f t="shared" si="76"/>
        <v>0.973325619803477</v>
      </c>
      <c r="AH114" s="106">
        <f t="shared" si="77"/>
        <v>1.73639174086238</v>
      </c>
      <c r="AI114" s="107">
        <f t="shared" si="62"/>
        <v>2.70971736066585</v>
      </c>
      <c r="AJ114" s="105">
        <f t="shared" si="63"/>
        <v>2.14</v>
      </c>
      <c r="AK114" s="106">
        <f t="shared" si="64"/>
        <v>5.33940495286627</v>
      </c>
      <c r="AL114" s="106">
        <f t="shared" si="65"/>
        <v>0.6955</v>
      </c>
      <c r="AM114" s="106">
        <f t="shared" si="78"/>
        <v>0</v>
      </c>
      <c r="AN114" s="107">
        <f t="shared" si="66"/>
        <v>0.6955</v>
      </c>
      <c r="AO114" s="105">
        <f t="shared" si="79"/>
        <v>1.14508896447468</v>
      </c>
      <c r="AP114" s="106">
        <f t="shared" si="54"/>
        <v>0.0756</v>
      </c>
      <c r="AQ114" s="107">
        <f t="shared" si="67"/>
        <v>0.0132</v>
      </c>
      <c r="AR114" s="105">
        <f t="shared" si="68"/>
        <v>4.63910632514053</v>
      </c>
      <c r="AS114" s="106">
        <f t="shared" si="69"/>
        <v>42.8</v>
      </c>
      <c r="AT114" s="107">
        <f t="shared" si="70"/>
        <v>90.2209238653342</v>
      </c>
    </row>
    <row r="115" spans="17:46">
      <c r="Q115">
        <v>108</v>
      </c>
      <c r="R115" s="105">
        <f t="shared" si="43"/>
        <v>20</v>
      </c>
      <c r="S115" s="106">
        <f t="shared" si="71"/>
        <v>2.16</v>
      </c>
      <c r="T115" s="106">
        <f t="shared" si="45"/>
        <v>4</v>
      </c>
      <c r="U115" s="107">
        <f t="shared" si="72"/>
        <v>10.8</v>
      </c>
      <c r="V115" s="105">
        <f t="shared" si="73"/>
        <v>2</v>
      </c>
      <c r="W115" s="106">
        <f t="shared" si="74"/>
        <v>0.833333333333333</v>
      </c>
      <c r="X115" s="107">
        <f t="shared" si="75"/>
        <v>0.166666666666667</v>
      </c>
      <c r="Y115" s="105">
        <f t="shared" si="55"/>
        <v>0.476190476190476</v>
      </c>
      <c r="Z115" s="106">
        <f t="shared" si="56"/>
        <v>13.4361904761905</v>
      </c>
      <c r="AA115" s="106">
        <f t="shared" si="57"/>
        <v>10.8008748001015</v>
      </c>
      <c r="AB115" s="106">
        <v>0</v>
      </c>
      <c r="AC115" s="106">
        <f t="shared" si="58"/>
        <v>1.16658896447468</v>
      </c>
      <c r="AD115" s="107">
        <f t="shared" si="59"/>
        <v>1.16658896447468</v>
      </c>
      <c r="AE115" s="105">
        <f t="shared" si="60"/>
        <v>19.44</v>
      </c>
      <c r="AF115" s="106">
        <f t="shared" si="61"/>
        <v>10.8008748001015</v>
      </c>
      <c r="AG115" s="106">
        <f t="shared" si="76"/>
        <v>0.991600619803477</v>
      </c>
      <c r="AH115" s="106">
        <f t="shared" si="77"/>
        <v>1.75261970105735</v>
      </c>
      <c r="AI115" s="107">
        <f t="shared" si="62"/>
        <v>2.74422032086083</v>
      </c>
      <c r="AJ115" s="105">
        <f t="shared" si="63"/>
        <v>2.16</v>
      </c>
      <c r="AK115" s="106">
        <f t="shared" si="64"/>
        <v>5.38839206630482</v>
      </c>
      <c r="AL115" s="106">
        <f t="shared" si="65"/>
        <v>0.702</v>
      </c>
      <c r="AM115" s="106">
        <f t="shared" si="78"/>
        <v>0</v>
      </c>
      <c r="AN115" s="107">
        <f t="shared" si="66"/>
        <v>0.702</v>
      </c>
      <c r="AO115" s="105">
        <f t="shared" si="79"/>
        <v>1.16658896447468</v>
      </c>
      <c r="AP115" s="106">
        <f t="shared" si="54"/>
        <v>0.0756</v>
      </c>
      <c r="AQ115" s="107">
        <f t="shared" si="67"/>
        <v>0.0132</v>
      </c>
      <c r="AR115" s="105">
        <f t="shared" si="68"/>
        <v>4.70160928533551</v>
      </c>
      <c r="AS115" s="106">
        <f t="shared" si="69"/>
        <v>43.2</v>
      </c>
      <c r="AT115" s="107">
        <f t="shared" si="70"/>
        <v>90.1848615203522</v>
      </c>
    </row>
    <row r="116" spans="17:46">
      <c r="Q116">
        <v>109</v>
      </c>
      <c r="R116" s="105">
        <f t="shared" si="43"/>
        <v>20</v>
      </c>
      <c r="S116" s="106">
        <f t="shared" si="71"/>
        <v>2.18</v>
      </c>
      <c r="T116" s="106">
        <f t="shared" si="45"/>
        <v>4</v>
      </c>
      <c r="U116" s="107">
        <f t="shared" si="72"/>
        <v>10.9</v>
      </c>
      <c r="V116" s="105">
        <f t="shared" si="73"/>
        <v>2</v>
      </c>
      <c r="W116" s="106">
        <f t="shared" si="74"/>
        <v>0.833333333333333</v>
      </c>
      <c r="X116" s="107">
        <f t="shared" si="75"/>
        <v>0.166666666666667</v>
      </c>
      <c r="Y116" s="105">
        <f t="shared" si="55"/>
        <v>0.476190476190476</v>
      </c>
      <c r="Z116" s="106">
        <f t="shared" si="56"/>
        <v>13.5561904761905</v>
      </c>
      <c r="AA116" s="106">
        <f t="shared" si="57"/>
        <v>10.9008667750536</v>
      </c>
      <c r="AB116" s="106">
        <v>0</v>
      </c>
      <c r="AC116" s="106">
        <f t="shared" si="58"/>
        <v>1.18828896447468</v>
      </c>
      <c r="AD116" s="107">
        <f t="shared" si="59"/>
        <v>1.18828896447468</v>
      </c>
      <c r="AE116" s="105">
        <f t="shared" si="60"/>
        <v>19.8016666666667</v>
      </c>
      <c r="AF116" s="106">
        <f t="shared" si="61"/>
        <v>10.9008667750536</v>
      </c>
      <c r="AG116" s="106">
        <f t="shared" si="76"/>
        <v>1.01004561980348</v>
      </c>
      <c r="AH116" s="106">
        <f t="shared" si="77"/>
        <v>1.76884766125233</v>
      </c>
      <c r="AI116" s="107">
        <f t="shared" si="62"/>
        <v>2.7788932810558</v>
      </c>
      <c r="AJ116" s="105">
        <f t="shared" si="63"/>
        <v>2.18</v>
      </c>
      <c r="AK116" s="106">
        <f t="shared" si="64"/>
        <v>5.43737922806019</v>
      </c>
      <c r="AL116" s="106">
        <f t="shared" si="65"/>
        <v>0.7085</v>
      </c>
      <c r="AM116" s="106">
        <f t="shared" si="78"/>
        <v>0</v>
      </c>
      <c r="AN116" s="107">
        <f t="shared" si="66"/>
        <v>0.7085</v>
      </c>
      <c r="AO116" s="105">
        <f t="shared" si="79"/>
        <v>1.18828896447468</v>
      </c>
      <c r="AP116" s="106">
        <f t="shared" si="54"/>
        <v>0.0756</v>
      </c>
      <c r="AQ116" s="107">
        <f t="shared" si="67"/>
        <v>0.0132</v>
      </c>
      <c r="AR116" s="105">
        <f t="shared" si="68"/>
        <v>4.76448224553048</v>
      </c>
      <c r="AS116" s="106">
        <f t="shared" si="69"/>
        <v>43.6</v>
      </c>
      <c r="AT116" s="107">
        <f t="shared" si="70"/>
        <v>90.1487992338204</v>
      </c>
    </row>
    <row r="117" spans="17:46">
      <c r="Q117">
        <v>110</v>
      </c>
      <c r="R117" s="105">
        <f t="shared" si="43"/>
        <v>20</v>
      </c>
      <c r="S117" s="106">
        <f t="shared" si="71"/>
        <v>2.2</v>
      </c>
      <c r="T117" s="106">
        <f t="shared" si="45"/>
        <v>4</v>
      </c>
      <c r="U117" s="107">
        <f t="shared" si="72"/>
        <v>11</v>
      </c>
      <c r="V117" s="105">
        <f t="shared" si="73"/>
        <v>2</v>
      </c>
      <c r="W117" s="106">
        <f t="shared" si="74"/>
        <v>0.833333333333333</v>
      </c>
      <c r="X117" s="107">
        <f t="shared" si="75"/>
        <v>0.166666666666667</v>
      </c>
      <c r="Y117" s="105">
        <f t="shared" si="55"/>
        <v>0.476190476190476</v>
      </c>
      <c r="Z117" s="106">
        <f t="shared" si="56"/>
        <v>13.6761904761905</v>
      </c>
      <c r="AA117" s="106">
        <f t="shared" si="57"/>
        <v>11.0008588958984</v>
      </c>
      <c r="AB117" s="106">
        <v>0</v>
      </c>
      <c r="AC117" s="106">
        <f t="shared" si="58"/>
        <v>1.21018896447468</v>
      </c>
      <c r="AD117" s="107">
        <f t="shared" si="59"/>
        <v>1.21018896447468</v>
      </c>
      <c r="AE117" s="105">
        <f t="shared" si="60"/>
        <v>20.1666666666667</v>
      </c>
      <c r="AF117" s="106">
        <f t="shared" si="61"/>
        <v>11.0008588958984</v>
      </c>
      <c r="AG117" s="106">
        <f t="shared" si="76"/>
        <v>1.02866061980348</v>
      </c>
      <c r="AH117" s="106">
        <f t="shared" si="77"/>
        <v>1.7850756214473</v>
      </c>
      <c r="AI117" s="107">
        <f t="shared" si="62"/>
        <v>2.81373624125078</v>
      </c>
      <c r="AJ117" s="105">
        <f t="shared" si="63"/>
        <v>2.2</v>
      </c>
      <c r="AK117" s="106">
        <f t="shared" si="64"/>
        <v>5.48636643683816</v>
      </c>
      <c r="AL117" s="106">
        <f t="shared" si="65"/>
        <v>0.715</v>
      </c>
      <c r="AM117" s="106">
        <f t="shared" si="78"/>
        <v>0</v>
      </c>
      <c r="AN117" s="107">
        <f t="shared" si="66"/>
        <v>0.715</v>
      </c>
      <c r="AO117" s="105">
        <f t="shared" si="79"/>
        <v>1.21018896447468</v>
      </c>
      <c r="AP117" s="106">
        <f t="shared" si="54"/>
        <v>0.0756</v>
      </c>
      <c r="AQ117" s="107">
        <f t="shared" si="67"/>
        <v>0.0132</v>
      </c>
      <c r="AR117" s="105">
        <f t="shared" si="68"/>
        <v>4.82772520572546</v>
      </c>
      <c r="AS117" s="106">
        <f t="shared" si="69"/>
        <v>44</v>
      </c>
      <c r="AT117" s="107">
        <f t="shared" si="70"/>
        <v>90.1127378238801</v>
      </c>
    </row>
    <row r="118" spans="17:46">
      <c r="Q118">
        <v>111</v>
      </c>
      <c r="R118" s="105">
        <f t="shared" si="43"/>
        <v>20</v>
      </c>
      <c r="S118" s="106">
        <f t="shared" si="71"/>
        <v>2.22</v>
      </c>
      <c r="T118" s="106">
        <f t="shared" si="45"/>
        <v>4</v>
      </c>
      <c r="U118" s="107">
        <f t="shared" si="72"/>
        <v>11.1</v>
      </c>
      <c r="V118" s="105">
        <f t="shared" si="73"/>
        <v>2</v>
      </c>
      <c r="W118" s="106">
        <f t="shared" si="74"/>
        <v>0.833333333333333</v>
      </c>
      <c r="X118" s="107">
        <f t="shared" si="75"/>
        <v>0.166666666666667</v>
      </c>
      <c r="Y118" s="105">
        <f t="shared" si="55"/>
        <v>0.476190476190476</v>
      </c>
      <c r="Z118" s="106">
        <f t="shared" si="56"/>
        <v>13.7961904761905</v>
      </c>
      <c r="AA118" s="106">
        <f t="shared" si="57"/>
        <v>11.1008511586935</v>
      </c>
      <c r="AB118" s="106">
        <v>0</v>
      </c>
      <c r="AC118" s="106">
        <f t="shared" si="58"/>
        <v>1.23228896447468</v>
      </c>
      <c r="AD118" s="107">
        <f t="shared" si="59"/>
        <v>1.23228896447468</v>
      </c>
      <c r="AE118" s="105">
        <f t="shared" si="60"/>
        <v>20.535</v>
      </c>
      <c r="AF118" s="106">
        <f t="shared" si="61"/>
        <v>11.1008511586935</v>
      </c>
      <c r="AG118" s="106">
        <f t="shared" si="76"/>
        <v>1.04744561980348</v>
      </c>
      <c r="AH118" s="106">
        <f t="shared" si="77"/>
        <v>1.80130358164228</v>
      </c>
      <c r="AI118" s="107">
        <f t="shared" si="62"/>
        <v>2.84874920144576</v>
      </c>
      <c r="AJ118" s="105">
        <f t="shared" si="63"/>
        <v>2.22</v>
      </c>
      <c r="AK118" s="106">
        <f t="shared" si="64"/>
        <v>5.53535369139029</v>
      </c>
      <c r="AL118" s="106">
        <f t="shared" si="65"/>
        <v>0.7215</v>
      </c>
      <c r="AM118" s="106">
        <f t="shared" si="78"/>
        <v>0</v>
      </c>
      <c r="AN118" s="107">
        <f t="shared" si="66"/>
        <v>0.7215</v>
      </c>
      <c r="AO118" s="105">
        <f t="shared" si="79"/>
        <v>1.23228896447468</v>
      </c>
      <c r="AP118" s="106">
        <f t="shared" si="54"/>
        <v>0.0756</v>
      </c>
      <c r="AQ118" s="107">
        <f t="shared" si="67"/>
        <v>0.0132</v>
      </c>
      <c r="AR118" s="105">
        <f t="shared" si="68"/>
        <v>4.89133816592043</v>
      </c>
      <c r="AS118" s="106">
        <f t="shared" si="69"/>
        <v>44.4</v>
      </c>
      <c r="AT118" s="107">
        <f t="shared" si="70"/>
        <v>90.0766780778894</v>
      </c>
    </row>
    <row r="119" spans="17:46">
      <c r="Q119">
        <v>112</v>
      </c>
      <c r="R119" s="105">
        <f t="shared" si="43"/>
        <v>20</v>
      </c>
      <c r="S119" s="106">
        <f t="shared" si="71"/>
        <v>2.24</v>
      </c>
      <c r="T119" s="106">
        <f t="shared" si="45"/>
        <v>4</v>
      </c>
      <c r="U119" s="107">
        <f t="shared" si="72"/>
        <v>11.2</v>
      </c>
      <c r="V119" s="105">
        <f t="shared" si="73"/>
        <v>2</v>
      </c>
      <c r="W119" s="106">
        <f t="shared" si="74"/>
        <v>0.833333333333333</v>
      </c>
      <c r="X119" s="107">
        <f t="shared" si="75"/>
        <v>0.166666666666667</v>
      </c>
      <c r="Y119" s="105">
        <f t="shared" si="55"/>
        <v>0.476190476190476</v>
      </c>
      <c r="Z119" s="106">
        <f t="shared" si="56"/>
        <v>13.9161904761905</v>
      </c>
      <c r="AA119" s="106">
        <f t="shared" si="57"/>
        <v>11.2008435596373</v>
      </c>
      <c r="AB119" s="106">
        <v>0</v>
      </c>
      <c r="AC119" s="106">
        <f t="shared" si="58"/>
        <v>1.25458896447468</v>
      </c>
      <c r="AD119" s="107">
        <f t="shared" si="59"/>
        <v>1.25458896447468</v>
      </c>
      <c r="AE119" s="105">
        <f t="shared" si="60"/>
        <v>20.9066666666667</v>
      </c>
      <c r="AF119" s="106">
        <f t="shared" si="61"/>
        <v>11.2008435596373</v>
      </c>
      <c r="AG119" s="106">
        <f t="shared" si="76"/>
        <v>1.06640061980348</v>
      </c>
      <c r="AH119" s="106">
        <f t="shared" si="77"/>
        <v>1.81753154183725</v>
      </c>
      <c r="AI119" s="107">
        <f t="shared" si="62"/>
        <v>2.88393216164073</v>
      </c>
      <c r="AJ119" s="105">
        <f t="shared" si="63"/>
        <v>2.24</v>
      </c>
      <c r="AK119" s="106">
        <f t="shared" si="64"/>
        <v>5.58434099051194</v>
      </c>
      <c r="AL119" s="106">
        <f t="shared" si="65"/>
        <v>0.728</v>
      </c>
      <c r="AM119" s="106">
        <f t="shared" si="78"/>
        <v>0</v>
      </c>
      <c r="AN119" s="107">
        <f t="shared" si="66"/>
        <v>0.728</v>
      </c>
      <c r="AO119" s="105">
        <f t="shared" si="79"/>
        <v>1.25458896447468</v>
      </c>
      <c r="AP119" s="106">
        <f t="shared" si="54"/>
        <v>0.0756</v>
      </c>
      <c r="AQ119" s="107">
        <f t="shared" si="67"/>
        <v>0.0132</v>
      </c>
      <c r="AR119" s="105">
        <f t="shared" si="68"/>
        <v>4.95532112611541</v>
      </c>
      <c r="AS119" s="106">
        <f t="shared" si="69"/>
        <v>44.8</v>
      </c>
      <c r="AT119" s="107">
        <f t="shared" si="70"/>
        <v>90.0406207537982</v>
      </c>
    </row>
    <row r="120" spans="17:46">
      <c r="Q120">
        <v>113</v>
      </c>
      <c r="R120" s="105">
        <f t="shared" si="43"/>
        <v>20</v>
      </c>
      <c r="S120" s="106">
        <f t="shared" si="71"/>
        <v>2.26</v>
      </c>
      <c r="T120" s="106">
        <f t="shared" si="45"/>
        <v>4</v>
      </c>
      <c r="U120" s="107">
        <f t="shared" si="72"/>
        <v>11.3</v>
      </c>
      <c r="V120" s="105">
        <f t="shared" si="73"/>
        <v>2</v>
      </c>
      <c r="W120" s="106">
        <f t="shared" si="74"/>
        <v>0.833333333333333</v>
      </c>
      <c r="X120" s="107">
        <f t="shared" si="75"/>
        <v>0.166666666666667</v>
      </c>
      <c r="Y120" s="105">
        <f t="shared" si="55"/>
        <v>0.476190476190476</v>
      </c>
      <c r="Z120" s="106">
        <f t="shared" si="56"/>
        <v>14.0361904761905</v>
      </c>
      <c r="AA120" s="106">
        <f t="shared" si="57"/>
        <v>11.3008360950625</v>
      </c>
      <c r="AB120" s="106">
        <v>0</v>
      </c>
      <c r="AC120" s="106">
        <f t="shared" si="58"/>
        <v>1.27708896447468</v>
      </c>
      <c r="AD120" s="107">
        <f t="shared" si="59"/>
        <v>1.27708896447468</v>
      </c>
      <c r="AE120" s="105">
        <f t="shared" si="60"/>
        <v>21.2816666666667</v>
      </c>
      <c r="AF120" s="106">
        <f t="shared" si="61"/>
        <v>11.3008360950625</v>
      </c>
      <c r="AG120" s="106">
        <f t="shared" si="76"/>
        <v>1.08552561980348</v>
      </c>
      <c r="AH120" s="106">
        <f t="shared" si="77"/>
        <v>1.83375950203223</v>
      </c>
      <c r="AI120" s="107">
        <f t="shared" si="62"/>
        <v>2.91928512183571</v>
      </c>
      <c r="AJ120" s="105">
        <f t="shared" si="63"/>
        <v>2.26</v>
      </c>
      <c r="AK120" s="106">
        <f t="shared" si="64"/>
        <v>5.6333283330404</v>
      </c>
      <c r="AL120" s="106">
        <f t="shared" si="65"/>
        <v>0.7345</v>
      </c>
      <c r="AM120" s="106">
        <f t="shared" si="78"/>
        <v>0</v>
      </c>
      <c r="AN120" s="107">
        <f t="shared" si="66"/>
        <v>0.7345</v>
      </c>
      <c r="AO120" s="105">
        <f t="shared" si="79"/>
        <v>1.27708896447468</v>
      </c>
      <c r="AP120" s="106">
        <f t="shared" si="54"/>
        <v>0.0756</v>
      </c>
      <c r="AQ120" s="107">
        <f t="shared" si="67"/>
        <v>0.0132</v>
      </c>
      <c r="AR120" s="105">
        <f t="shared" si="68"/>
        <v>5.01967408631039</v>
      </c>
      <c r="AS120" s="106">
        <f t="shared" si="69"/>
        <v>45.2</v>
      </c>
      <c r="AT120" s="107">
        <f t="shared" si="70"/>
        <v>90.0045665814492</v>
      </c>
    </row>
    <row r="121" spans="17:46">
      <c r="Q121">
        <v>114</v>
      </c>
      <c r="R121" s="105">
        <f t="shared" si="43"/>
        <v>20</v>
      </c>
      <c r="S121" s="106">
        <f t="shared" si="71"/>
        <v>2.28</v>
      </c>
      <c r="T121" s="106">
        <f t="shared" si="45"/>
        <v>4</v>
      </c>
      <c r="U121" s="107">
        <f t="shared" si="72"/>
        <v>11.4</v>
      </c>
      <c r="V121" s="105">
        <f t="shared" si="73"/>
        <v>2</v>
      </c>
      <c r="W121" s="106">
        <f t="shared" si="74"/>
        <v>0.833333333333333</v>
      </c>
      <c r="X121" s="107">
        <f t="shared" si="75"/>
        <v>0.166666666666667</v>
      </c>
      <c r="Y121" s="105">
        <f t="shared" si="55"/>
        <v>0.476190476190476</v>
      </c>
      <c r="Z121" s="106">
        <f t="shared" si="56"/>
        <v>14.1561904761905</v>
      </c>
      <c r="AA121" s="106">
        <f t="shared" si="57"/>
        <v>11.4008287614308</v>
      </c>
      <c r="AB121" s="106">
        <v>0</v>
      </c>
      <c r="AC121" s="106">
        <f t="shared" si="58"/>
        <v>1.29978896447468</v>
      </c>
      <c r="AD121" s="107">
        <f t="shared" si="59"/>
        <v>1.29978896447468</v>
      </c>
      <c r="AE121" s="105">
        <f t="shared" si="60"/>
        <v>21.66</v>
      </c>
      <c r="AF121" s="106">
        <f t="shared" si="61"/>
        <v>11.4008287614308</v>
      </c>
      <c r="AG121" s="106">
        <f t="shared" si="76"/>
        <v>1.10482061980348</v>
      </c>
      <c r="AH121" s="106">
        <f t="shared" si="77"/>
        <v>1.84998746222721</v>
      </c>
      <c r="AI121" s="107">
        <f t="shared" si="62"/>
        <v>2.95480808203068</v>
      </c>
      <c r="AJ121" s="105">
        <f t="shared" si="63"/>
        <v>2.28</v>
      </c>
      <c r="AK121" s="106">
        <f t="shared" si="64"/>
        <v>5.68231571785303</v>
      </c>
      <c r="AL121" s="106">
        <f t="shared" si="65"/>
        <v>0.741</v>
      </c>
      <c r="AM121" s="106">
        <f t="shared" si="78"/>
        <v>0</v>
      </c>
      <c r="AN121" s="107">
        <f t="shared" si="66"/>
        <v>0.741</v>
      </c>
      <c r="AO121" s="105">
        <f t="shared" si="79"/>
        <v>1.29978896447468</v>
      </c>
      <c r="AP121" s="106">
        <f t="shared" si="54"/>
        <v>0.0756</v>
      </c>
      <c r="AQ121" s="107">
        <f t="shared" si="67"/>
        <v>0.0132</v>
      </c>
      <c r="AR121" s="105">
        <f t="shared" si="68"/>
        <v>5.08439704650536</v>
      </c>
      <c r="AS121" s="106">
        <f t="shared" si="69"/>
        <v>45.6</v>
      </c>
      <c r="AT121" s="107">
        <f t="shared" si="70"/>
        <v>89.9685162638116</v>
      </c>
    </row>
    <row r="122" spans="17:46">
      <c r="Q122">
        <v>115</v>
      </c>
      <c r="R122" s="105">
        <f t="shared" si="43"/>
        <v>20</v>
      </c>
      <c r="S122" s="106">
        <f t="shared" si="71"/>
        <v>2.3</v>
      </c>
      <c r="T122" s="106">
        <f t="shared" si="45"/>
        <v>4</v>
      </c>
      <c r="U122" s="107">
        <f t="shared" si="72"/>
        <v>11.5</v>
      </c>
      <c r="V122" s="105">
        <f t="shared" si="73"/>
        <v>2</v>
      </c>
      <c r="W122" s="106">
        <f t="shared" si="74"/>
        <v>0.833333333333333</v>
      </c>
      <c r="X122" s="107">
        <f t="shared" si="75"/>
        <v>0.166666666666667</v>
      </c>
      <c r="Y122" s="105">
        <f t="shared" si="55"/>
        <v>0.476190476190476</v>
      </c>
      <c r="Z122" s="106">
        <f t="shared" si="56"/>
        <v>14.2761904761905</v>
      </c>
      <c r="AA122" s="106">
        <f t="shared" si="57"/>
        <v>11.5008215553267</v>
      </c>
      <c r="AB122" s="106">
        <v>0</v>
      </c>
      <c r="AC122" s="106">
        <f t="shared" si="58"/>
        <v>1.32268896447468</v>
      </c>
      <c r="AD122" s="107">
        <f t="shared" si="59"/>
        <v>1.32268896447468</v>
      </c>
      <c r="AE122" s="105">
        <f t="shared" si="60"/>
        <v>22.0416666666667</v>
      </c>
      <c r="AF122" s="106">
        <f t="shared" si="61"/>
        <v>11.5008215553267</v>
      </c>
      <c r="AG122" s="106">
        <f t="shared" si="76"/>
        <v>1.12428561980348</v>
      </c>
      <c r="AH122" s="106">
        <f t="shared" si="77"/>
        <v>1.86621542242218</v>
      </c>
      <c r="AI122" s="107">
        <f t="shared" si="62"/>
        <v>2.99050104222566</v>
      </c>
      <c r="AJ122" s="105">
        <f t="shared" si="63"/>
        <v>2.3</v>
      </c>
      <c r="AK122" s="106">
        <f t="shared" si="64"/>
        <v>5.73130314386557</v>
      </c>
      <c r="AL122" s="106">
        <f t="shared" si="65"/>
        <v>0.7475</v>
      </c>
      <c r="AM122" s="106">
        <f t="shared" si="78"/>
        <v>0</v>
      </c>
      <c r="AN122" s="107">
        <f t="shared" si="66"/>
        <v>0.7475</v>
      </c>
      <c r="AO122" s="105">
        <f t="shared" si="79"/>
        <v>1.32268896447468</v>
      </c>
      <c r="AP122" s="106">
        <f t="shared" si="54"/>
        <v>0.0756</v>
      </c>
      <c r="AQ122" s="107">
        <f t="shared" si="67"/>
        <v>0.0132</v>
      </c>
      <c r="AR122" s="105">
        <f t="shared" si="68"/>
        <v>5.14949000670034</v>
      </c>
      <c r="AS122" s="106">
        <f t="shared" si="69"/>
        <v>46</v>
      </c>
      <c r="AT122" s="107">
        <f t="shared" si="70"/>
        <v>89.9324704781499</v>
      </c>
    </row>
    <row r="123" spans="17:46">
      <c r="Q123">
        <v>116</v>
      </c>
      <c r="R123" s="105">
        <f t="shared" si="43"/>
        <v>20</v>
      </c>
      <c r="S123" s="106">
        <f t="shared" si="71"/>
        <v>2.32</v>
      </c>
      <c r="T123" s="106">
        <f t="shared" si="45"/>
        <v>4</v>
      </c>
      <c r="U123" s="107">
        <f t="shared" si="72"/>
        <v>11.6</v>
      </c>
      <c r="V123" s="105">
        <f t="shared" si="73"/>
        <v>2</v>
      </c>
      <c r="W123" s="106">
        <f t="shared" si="74"/>
        <v>0.833333333333333</v>
      </c>
      <c r="X123" s="107">
        <f t="shared" si="75"/>
        <v>0.166666666666667</v>
      </c>
      <c r="Y123" s="105">
        <f t="shared" si="55"/>
        <v>0.476190476190476</v>
      </c>
      <c r="Z123" s="106">
        <f t="shared" si="56"/>
        <v>14.3961904761905</v>
      </c>
      <c r="AA123" s="106">
        <f t="shared" si="57"/>
        <v>11.6008144734526</v>
      </c>
      <c r="AB123" s="106">
        <v>0</v>
      </c>
      <c r="AC123" s="106">
        <f t="shared" si="58"/>
        <v>1.34578896447468</v>
      </c>
      <c r="AD123" s="107">
        <f t="shared" si="59"/>
        <v>1.34578896447468</v>
      </c>
      <c r="AE123" s="105">
        <f t="shared" si="60"/>
        <v>22.4266666666667</v>
      </c>
      <c r="AF123" s="106">
        <f t="shared" si="61"/>
        <v>11.6008144734526</v>
      </c>
      <c r="AG123" s="106">
        <f t="shared" si="76"/>
        <v>1.14392061980348</v>
      </c>
      <c r="AH123" s="106">
        <f t="shared" si="77"/>
        <v>1.88244338261716</v>
      </c>
      <c r="AI123" s="107">
        <f t="shared" si="62"/>
        <v>3.02636400242063</v>
      </c>
      <c r="AJ123" s="105">
        <f t="shared" si="63"/>
        <v>2.32</v>
      </c>
      <c r="AK123" s="106">
        <f t="shared" si="64"/>
        <v>5.78029061003053</v>
      </c>
      <c r="AL123" s="106">
        <f t="shared" si="65"/>
        <v>0.754</v>
      </c>
      <c r="AM123" s="106">
        <f t="shared" si="78"/>
        <v>0</v>
      </c>
      <c r="AN123" s="107">
        <f t="shared" si="66"/>
        <v>0.754</v>
      </c>
      <c r="AO123" s="105">
        <f t="shared" si="79"/>
        <v>1.34578896447468</v>
      </c>
      <c r="AP123" s="106">
        <f t="shared" si="54"/>
        <v>0.0756</v>
      </c>
      <c r="AQ123" s="107">
        <f t="shared" si="67"/>
        <v>0.0132</v>
      </c>
      <c r="AR123" s="105">
        <f t="shared" si="68"/>
        <v>5.21495296689531</v>
      </c>
      <c r="AS123" s="106">
        <f t="shared" si="69"/>
        <v>46.4</v>
      </c>
      <c r="AT123" s="107">
        <f t="shared" si="70"/>
        <v>89.8964298771326</v>
      </c>
    </row>
    <row r="124" spans="17:46">
      <c r="Q124">
        <v>117</v>
      </c>
      <c r="R124" s="105">
        <f t="shared" si="43"/>
        <v>20</v>
      </c>
      <c r="S124" s="106">
        <f t="shared" si="71"/>
        <v>2.34</v>
      </c>
      <c r="T124" s="106">
        <f t="shared" si="45"/>
        <v>4</v>
      </c>
      <c r="U124" s="107">
        <f t="shared" si="72"/>
        <v>11.7</v>
      </c>
      <c r="V124" s="105">
        <f t="shared" si="73"/>
        <v>2</v>
      </c>
      <c r="W124" s="106">
        <f t="shared" si="74"/>
        <v>0.833333333333333</v>
      </c>
      <c r="X124" s="107">
        <f t="shared" si="75"/>
        <v>0.166666666666667</v>
      </c>
      <c r="Y124" s="105">
        <f t="shared" si="55"/>
        <v>0.476190476190476</v>
      </c>
      <c r="Z124" s="106">
        <f t="shared" si="56"/>
        <v>14.5161904761905</v>
      </c>
      <c r="AA124" s="106">
        <f t="shared" si="57"/>
        <v>11.7008075126236</v>
      </c>
      <c r="AB124" s="106">
        <v>0</v>
      </c>
      <c r="AC124" s="106">
        <f t="shared" si="58"/>
        <v>1.36908896447468</v>
      </c>
      <c r="AD124" s="107">
        <f t="shared" si="59"/>
        <v>1.36908896447468</v>
      </c>
      <c r="AE124" s="105">
        <f t="shared" si="60"/>
        <v>22.815</v>
      </c>
      <c r="AF124" s="106">
        <f t="shared" si="61"/>
        <v>11.7008075126236</v>
      </c>
      <c r="AG124" s="106">
        <f t="shared" si="76"/>
        <v>1.16372561980348</v>
      </c>
      <c r="AH124" s="106">
        <f t="shared" si="77"/>
        <v>1.89867134281213</v>
      </c>
      <c r="AI124" s="107">
        <f t="shared" si="62"/>
        <v>3.06239696261561</v>
      </c>
      <c r="AJ124" s="105">
        <f t="shared" si="63"/>
        <v>2.34</v>
      </c>
      <c r="AK124" s="106">
        <f t="shared" si="64"/>
        <v>5.82927811533563</v>
      </c>
      <c r="AL124" s="106">
        <f t="shared" si="65"/>
        <v>0.7605</v>
      </c>
      <c r="AM124" s="106">
        <f t="shared" si="78"/>
        <v>0</v>
      </c>
      <c r="AN124" s="107">
        <f t="shared" si="66"/>
        <v>0.7605</v>
      </c>
      <c r="AO124" s="105">
        <f t="shared" si="79"/>
        <v>1.36908896447468</v>
      </c>
      <c r="AP124" s="106">
        <f t="shared" si="54"/>
        <v>0.0756</v>
      </c>
      <c r="AQ124" s="107">
        <f t="shared" si="67"/>
        <v>0.0132</v>
      </c>
      <c r="AR124" s="105">
        <f t="shared" si="68"/>
        <v>5.28078592709029</v>
      </c>
      <c r="AS124" s="106">
        <f t="shared" si="69"/>
        <v>46.8</v>
      </c>
      <c r="AT124" s="107">
        <f t="shared" si="70"/>
        <v>89.8603950898839</v>
      </c>
    </row>
    <row r="125" spans="17:46">
      <c r="Q125">
        <v>118</v>
      </c>
      <c r="R125" s="105">
        <f t="shared" si="43"/>
        <v>20</v>
      </c>
      <c r="S125" s="106">
        <f t="shared" si="71"/>
        <v>2.36</v>
      </c>
      <c r="T125" s="106">
        <f t="shared" si="45"/>
        <v>4</v>
      </c>
      <c r="U125" s="107">
        <f t="shared" si="72"/>
        <v>11.8</v>
      </c>
      <c r="V125" s="105">
        <f t="shared" si="73"/>
        <v>2</v>
      </c>
      <c r="W125" s="106">
        <f t="shared" si="74"/>
        <v>0.833333333333333</v>
      </c>
      <c r="X125" s="107">
        <f t="shared" si="75"/>
        <v>0.166666666666667</v>
      </c>
      <c r="Y125" s="105">
        <f t="shared" si="55"/>
        <v>0.476190476190476</v>
      </c>
      <c r="Z125" s="106">
        <f t="shared" si="56"/>
        <v>14.6361904761905</v>
      </c>
      <c r="AA125" s="106">
        <f t="shared" si="57"/>
        <v>11.8008006697625</v>
      </c>
      <c r="AB125" s="106">
        <v>0</v>
      </c>
      <c r="AC125" s="106">
        <f t="shared" si="58"/>
        <v>1.39258896447468</v>
      </c>
      <c r="AD125" s="107">
        <f t="shared" si="59"/>
        <v>1.39258896447468</v>
      </c>
      <c r="AE125" s="105">
        <f t="shared" si="60"/>
        <v>23.2066666666667</v>
      </c>
      <c r="AF125" s="106">
        <f t="shared" si="61"/>
        <v>11.8008006697625</v>
      </c>
      <c r="AG125" s="106">
        <f t="shared" si="76"/>
        <v>1.18370061980348</v>
      </c>
      <c r="AH125" s="106">
        <f t="shared" si="77"/>
        <v>1.91489930300711</v>
      </c>
      <c r="AI125" s="107">
        <f t="shared" si="62"/>
        <v>3.09859992281058</v>
      </c>
      <c r="AJ125" s="105">
        <f t="shared" si="63"/>
        <v>2.36</v>
      </c>
      <c r="AK125" s="106">
        <f t="shared" si="64"/>
        <v>5.87826565880233</v>
      </c>
      <c r="AL125" s="106">
        <f t="shared" si="65"/>
        <v>0.767</v>
      </c>
      <c r="AM125" s="106">
        <f t="shared" si="78"/>
        <v>0</v>
      </c>
      <c r="AN125" s="107">
        <f t="shared" si="66"/>
        <v>0.767</v>
      </c>
      <c r="AO125" s="105">
        <f t="shared" si="79"/>
        <v>1.39258896447468</v>
      </c>
      <c r="AP125" s="106">
        <f t="shared" si="54"/>
        <v>0.0756</v>
      </c>
      <c r="AQ125" s="107">
        <f t="shared" si="67"/>
        <v>0.0132</v>
      </c>
      <c r="AR125" s="105">
        <f t="shared" si="68"/>
        <v>5.34698888728526</v>
      </c>
      <c r="AS125" s="106">
        <f t="shared" si="69"/>
        <v>47.2</v>
      </c>
      <c r="AT125" s="107">
        <f t="shared" si="70"/>
        <v>89.8243667229825</v>
      </c>
    </row>
    <row r="126" spans="17:46">
      <c r="Q126">
        <v>119</v>
      </c>
      <c r="R126" s="105">
        <f t="shared" si="43"/>
        <v>20</v>
      </c>
      <c r="S126" s="106">
        <f t="shared" si="71"/>
        <v>2.38</v>
      </c>
      <c r="T126" s="106">
        <f t="shared" si="45"/>
        <v>4</v>
      </c>
      <c r="U126" s="107">
        <f t="shared" si="72"/>
        <v>11.9</v>
      </c>
      <c r="V126" s="105">
        <f t="shared" si="73"/>
        <v>2</v>
      </c>
      <c r="W126" s="106">
        <f t="shared" si="74"/>
        <v>0.833333333333333</v>
      </c>
      <c r="X126" s="107">
        <f t="shared" si="75"/>
        <v>0.166666666666667</v>
      </c>
      <c r="Y126" s="105">
        <f t="shared" si="55"/>
        <v>0.476190476190476</v>
      </c>
      <c r="Z126" s="106">
        <f t="shared" si="56"/>
        <v>14.7561904761905</v>
      </c>
      <c r="AA126" s="106">
        <f t="shared" si="57"/>
        <v>11.900793941896</v>
      </c>
      <c r="AB126" s="106">
        <v>0</v>
      </c>
      <c r="AC126" s="106">
        <f t="shared" si="58"/>
        <v>1.41628896447468</v>
      </c>
      <c r="AD126" s="107">
        <f t="shared" si="59"/>
        <v>1.41628896447468</v>
      </c>
      <c r="AE126" s="105">
        <f t="shared" si="60"/>
        <v>23.6016666666667</v>
      </c>
      <c r="AF126" s="106">
        <f t="shared" si="61"/>
        <v>11.900793941896</v>
      </c>
      <c r="AG126" s="106">
        <f t="shared" si="76"/>
        <v>1.20384561980348</v>
      </c>
      <c r="AH126" s="106">
        <f t="shared" si="77"/>
        <v>1.93112726320208</v>
      </c>
      <c r="AI126" s="107">
        <f t="shared" si="62"/>
        <v>3.13497288300556</v>
      </c>
      <c r="AJ126" s="105">
        <f t="shared" si="63"/>
        <v>2.38</v>
      </c>
      <c r="AK126" s="106">
        <f t="shared" si="64"/>
        <v>5.92725323948442</v>
      </c>
      <c r="AL126" s="106">
        <f t="shared" si="65"/>
        <v>0.7735</v>
      </c>
      <c r="AM126" s="106">
        <f t="shared" si="78"/>
        <v>0</v>
      </c>
      <c r="AN126" s="107">
        <f t="shared" si="66"/>
        <v>0.7735</v>
      </c>
      <c r="AO126" s="105">
        <f t="shared" si="79"/>
        <v>1.41628896447468</v>
      </c>
      <c r="AP126" s="106">
        <f t="shared" si="54"/>
        <v>0.0756</v>
      </c>
      <c r="AQ126" s="107">
        <f t="shared" si="67"/>
        <v>0.0132</v>
      </c>
      <c r="AR126" s="105">
        <f t="shared" si="68"/>
        <v>5.41356184748024</v>
      </c>
      <c r="AS126" s="106">
        <f t="shared" si="69"/>
        <v>47.6</v>
      </c>
      <c r="AT126" s="107">
        <f t="shared" si="70"/>
        <v>89.7883453614095</v>
      </c>
    </row>
    <row r="127" spans="17:46">
      <c r="Q127">
        <v>120</v>
      </c>
      <c r="R127" s="105">
        <f t="shared" si="43"/>
        <v>20</v>
      </c>
      <c r="S127" s="106">
        <f t="shared" si="71"/>
        <v>2.4</v>
      </c>
      <c r="T127" s="106">
        <f t="shared" si="45"/>
        <v>4</v>
      </c>
      <c r="U127" s="107">
        <f t="shared" si="72"/>
        <v>12</v>
      </c>
      <c r="V127" s="105">
        <f t="shared" si="73"/>
        <v>2</v>
      </c>
      <c r="W127" s="106">
        <f t="shared" si="74"/>
        <v>0.833333333333333</v>
      </c>
      <c r="X127" s="107">
        <f t="shared" si="75"/>
        <v>0.166666666666667</v>
      </c>
      <c r="Y127" s="105">
        <f t="shared" si="55"/>
        <v>0.476190476190476</v>
      </c>
      <c r="Z127" s="106">
        <f t="shared" si="56"/>
        <v>14.8761904761905</v>
      </c>
      <c r="AA127" s="106">
        <f t="shared" si="57"/>
        <v>12.0007873261494</v>
      </c>
      <c r="AB127" s="106">
        <v>0</v>
      </c>
      <c r="AC127" s="106">
        <f t="shared" si="58"/>
        <v>1.44018896447468</v>
      </c>
      <c r="AD127" s="107">
        <f t="shared" si="59"/>
        <v>1.44018896447468</v>
      </c>
      <c r="AE127" s="105">
        <f t="shared" si="60"/>
        <v>24</v>
      </c>
      <c r="AF127" s="106">
        <f t="shared" si="61"/>
        <v>12.0007873261494</v>
      </c>
      <c r="AG127" s="106">
        <f t="shared" si="76"/>
        <v>1.22416061980348</v>
      </c>
      <c r="AH127" s="106">
        <f t="shared" si="77"/>
        <v>1.94735522339706</v>
      </c>
      <c r="AI127" s="107">
        <f t="shared" si="62"/>
        <v>3.17151584320053</v>
      </c>
      <c r="AJ127" s="105">
        <f t="shared" si="63"/>
        <v>2.4</v>
      </c>
      <c r="AK127" s="106">
        <f t="shared" si="64"/>
        <v>5.97624085646675</v>
      </c>
      <c r="AL127" s="106">
        <f t="shared" si="65"/>
        <v>0.78</v>
      </c>
      <c r="AM127" s="106">
        <f t="shared" si="78"/>
        <v>0</v>
      </c>
      <c r="AN127" s="107">
        <f t="shared" si="66"/>
        <v>0.78</v>
      </c>
      <c r="AO127" s="105">
        <f t="shared" si="79"/>
        <v>1.44018896447468</v>
      </c>
      <c r="AP127" s="106">
        <f t="shared" si="54"/>
        <v>0.0756</v>
      </c>
      <c r="AQ127" s="107">
        <f t="shared" si="67"/>
        <v>0.0132</v>
      </c>
      <c r="AR127" s="105">
        <f t="shared" si="68"/>
        <v>5.48050480767521</v>
      </c>
      <c r="AS127" s="106">
        <f t="shared" si="69"/>
        <v>48</v>
      </c>
      <c r="AT127" s="107">
        <f t="shared" si="70"/>
        <v>89.7523315694494</v>
      </c>
    </row>
    <row r="128" spans="17:46">
      <c r="Q128">
        <v>121</v>
      </c>
      <c r="R128" s="105">
        <f t="shared" si="43"/>
        <v>20</v>
      </c>
      <c r="S128" s="106">
        <f t="shared" si="71"/>
        <v>2.42</v>
      </c>
      <c r="T128" s="106">
        <f t="shared" si="45"/>
        <v>4</v>
      </c>
      <c r="U128" s="107">
        <f t="shared" si="72"/>
        <v>12.1</v>
      </c>
      <c r="V128" s="105">
        <f t="shared" si="73"/>
        <v>2</v>
      </c>
      <c r="W128" s="106">
        <f t="shared" si="74"/>
        <v>0.833333333333333</v>
      </c>
      <c r="X128" s="107">
        <f t="shared" si="75"/>
        <v>0.166666666666667</v>
      </c>
      <c r="Y128" s="105">
        <f t="shared" si="55"/>
        <v>0.476190476190476</v>
      </c>
      <c r="Z128" s="106">
        <f t="shared" si="56"/>
        <v>14.9961904761905</v>
      </c>
      <c r="AA128" s="106">
        <f t="shared" si="57"/>
        <v>12.1007808197433</v>
      </c>
      <c r="AB128" s="106">
        <v>0</v>
      </c>
      <c r="AC128" s="106">
        <f t="shared" si="58"/>
        <v>1.46428896447468</v>
      </c>
      <c r="AD128" s="107">
        <f t="shared" si="59"/>
        <v>1.46428896447468</v>
      </c>
      <c r="AE128" s="105">
        <f t="shared" si="60"/>
        <v>24.4016666666667</v>
      </c>
      <c r="AF128" s="106">
        <f t="shared" si="61"/>
        <v>12.1007808197433</v>
      </c>
      <c r="AG128" s="106">
        <f t="shared" si="76"/>
        <v>1.24464561980348</v>
      </c>
      <c r="AH128" s="106">
        <f t="shared" si="77"/>
        <v>1.96358318359203</v>
      </c>
      <c r="AI128" s="107">
        <f t="shared" si="62"/>
        <v>3.20822880339551</v>
      </c>
      <c r="AJ128" s="105">
        <f t="shared" si="63"/>
        <v>2.42</v>
      </c>
      <c r="AK128" s="106">
        <f t="shared" si="64"/>
        <v>6.02522850886389</v>
      </c>
      <c r="AL128" s="106">
        <f t="shared" si="65"/>
        <v>0.7865</v>
      </c>
      <c r="AM128" s="106">
        <f t="shared" si="78"/>
        <v>0</v>
      </c>
      <c r="AN128" s="107">
        <f t="shared" si="66"/>
        <v>0.7865</v>
      </c>
      <c r="AO128" s="105">
        <f t="shared" si="79"/>
        <v>1.46428896447468</v>
      </c>
      <c r="AP128" s="106">
        <f t="shared" si="54"/>
        <v>0.0756</v>
      </c>
      <c r="AQ128" s="107">
        <f t="shared" si="67"/>
        <v>0.0132</v>
      </c>
      <c r="AR128" s="105">
        <f t="shared" si="68"/>
        <v>5.54781776787019</v>
      </c>
      <c r="AS128" s="106">
        <f t="shared" si="69"/>
        <v>48.4</v>
      </c>
      <c r="AT128" s="107">
        <f t="shared" si="70"/>
        <v>89.7163258915464</v>
      </c>
    </row>
    <row r="129" spans="17:46">
      <c r="Q129">
        <v>122</v>
      </c>
      <c r="R129" s="105">
        <f t="shared" si="43"/>
        <v>20</v>
      </c>
      <c r="S129" s="106">
        <f t="shared" si="71"/>
        <v>2.44</v>
      </c>
      <c r="T129" s="106">
        <f t="shared" si="45"/>
        <v>4</v>
      </c>
      <c r="U129" s="107">
        <f t="shared" si="72"/>
        <v>12.2</v>
      </c>
      <c r="V129" s="105">
        <f t="shared" si="73"/>
        <v>2</v>
      </c>
      <c r="W129" s="106">
        <f t="shared" si="74"/>
        <v>0.833333333333333</v>
      </c>
      <c r="X129" s="107">
        <f t="shared" si="75"/>
        <v>0.166666666666667</v>
      </c>
      <c r="Y129" s="105">
        <f t="shared" si="55"/>
        <v>0.476190476190476</v>
      </c>
      <c r="Z129" s="106">
        <f t="shared" si="56"/>
        <v>15.1161904761905</v>
      </c>
      <c r="AA129" s="106">
        <f t="shared" si="57"/>
        <v>12.2007744199894</v>
      </c>
      <c r="AB129" s="106">
        <v>0</v>
      </c>
      <c r="AC129" s="106">
        <f t="shared" si="58"/>
        <v>1.48858896447468</v>
      </c>
      <c r="AD129" s="107">
        <f t="shared" si="59"/>
        <v>1.48858896447468</v>
      </c>
      <c r="AE129" s="105">
        <f t="shared" si="60"/>
        <v>24.8066666666667</v>
      </c>
      <c r="AF129" s="106">
        <f t="shared" si="61"/>
        <v>12.2007744199894</v>
      </c>
      <c r="AG129" s="106">
        <f t="shared" si="76"/>
        <v>1.26530061980348</v>
      </c>
      <c r="AH129" s="106">
        <f t="shared" si="77"/>
        <v>1.97981114378701</v>
      </c>
      <c r="AI129" s="107">
        <f t="shared" si="62"/>
        <v>3.24511176359048</v>
      </c>
      <c r="AJ129" s="105">
        <f t="shared" si="63"/>
        <v>2.44</v>
      </c>
      <c r="AK129" s="106">
        <f t="shared" si="64"/>
        <v>6.07421619581901</v>
      </c>
      <c r="AL129" s="106">
        <f t="shared" si="65"/>
        <v>0.793</v>
      </c>
      <c r="AM129" s="106">
        <f t="shared" si="78"/>
        <v>0</v>
      </c>
      <c r="AN129" s="107">
        <f t="shared" si="66"/>
        <v>0.793</v>
      </c>
      <c r="AO129" s="105">
        <f t="shared" si="79"/>
        <v>1.48858896447468</v>
      </c>
      <c r="AP129" s="106">
        <f t="shared" si="54"/>
        <v>0.0756</v>
      </c>
      <c r="AQ129" s="107">
        <f t="shared" si="67"/>
        <v>0.0132</v>
      </c>
      <c r="AR129" s="105">
        <f t="shared" si="68"/>
        <v>5.61550072806516</v>
      </c>
      <c r="AS129" s="106">
        <f t="shared" si="69"/>
        <v>48.8</v>
      </c>
      <c r="AT129" s="107">
        <f t="shared" si="70"/>
        <v>89.6803288531186</v>
      </c>
    </row>
    <row r="130" spans="17:46">
      <c r="Q130">
        <v>123</v>
      </c>
      <c r="R130" s="105">
        <f t="shared" si="43"/>
        <v>20</v>
      </c>
      <c r="S130" s="106">
        <f t="shared" si="71"/>
        <v>2.46</v>
      </c>
      <c r="T130" s="106">
        <f t="shared" si="45"/>
        <v>4</v>
      </c>
      <c r="U130" s="107">
        <f t="shared" si="72"/>
        <v>12.3</v>
      </c>
      <c r="V130" s="105">
        <f t="shared" si="73"/>
        <v>2</v>
      </c>
      <c r="W130" s="106">
        <f t="shared" si="74"/>
        <v>0.833333333333333</v>
      </c>
      <c r="X130" s="107">
        <f t="shared" si="75"/>
        <v>0.166666666666667</v>
      </c>
      <c r="Y130" s="105">
        <f t="shared" si="55"/>
        <v>0.476190476190476</v>
      </c>
      <c r="Z130" s="106">
        <f t="shared" si="56"/>
        <v>15.2361904761905</v>
      </c>
      <c r="AA130" s="106">
        <f t="shared" si="57"/>
        <v>12.3007681242867</v>
      </c>
      <c r="AB130" s="106">
        <v>0</v>
      </c>
      <c r="AC130" s="106">
        <f t="shared" si="58"/>
        <v>1.51308896447468</v>
      </c>
      <c r="AD130" s="107">
        <f t="shared" si="59"/>
        <v>1.51308896447468</v>
      </c>
      <c r="AE130" s="105">
        <f t="shared" si="60"/>
        <v>25.215</v>
      </c>
      <c r="AF130" s="106">
        <f t="shared" si="61"/>
        <v>12.3007681242867</v>
      </c>
      <c r="AG130" s="106">
        <f t="shared" si="76"/>
        <v>1.28612561980348</v>
      </c>
      <c r="AH130" s="106">
        <f t="shared" si="77"/>
        <v>1.99603910398198</v>
      </c>
      <c r="AI130" s="107">
        <f t="shared" si="62"/>
        <v>3.28216472378546</v>
      </c>
      <c r="AJ130" s="105">
        <f t="shared" si="63"/>
        <v>2.46</v>
      </c>
      <c r="AK130" s="106">
        <f t="shared" si="64"/>
        <v>6.12320391650269</v>
      </c>
      <c r="AL130" s="106">
        <f t="shared" si="65"/>
        <v>0.7995</v>
      </c>
      <c r="AM130" s="106">
        <f t="shared" si="78"/>
        <v>0</v>
      </c>
      <c r="AN130" s="107">
        <f t="shared" si="66"/>
        <v>0.7995</v>
      </c>
      <c r="AO130" s="105">
        <f t="shared" si="79"/>
        <v>1.51308896447468</v>
      </c>
      <c r="AP130" s="106">
        <f t="shared" si="54"/>
        <v>0.0756</v>
      </c>
      <c r="AQ130" s="107">
        <f t="shared" si="67"/>
        <v>0.0132</v>
      </c>
      <c r="AR130" s="105">
        <f t="shared" si="68"/>
        <v>5.68355368826014</v>
      </c>
      <c r="AS130" s="106">
        <f t="shared" si="69"/>
        <v>49.2</v>
      </c>
      <c r="AT130" s="107">
        <f t="shared" si="70"/>
        <v>89.6443409613327</v>
      </c>
    </row>
    <row r="131" spans="17:46">
      <c r="Q131">
        <v>124</v>
      </c>
      <c r="R131" s="105">
        <f t="shared" si="43"/>
        <v>20</v>
      </c>
      <c r="S131" s="106">
        <f t="shared" si="71"/>
        <v>2.48</v>
      </c>
      <c r="T131" s="106">
        <f t="shared" si="45"/>
        <v>4</v>
      </c>
      <c r="U131" s="107">
        <f t="shared" si="72"/>
        <v>12.4</v>
      </c>
      <c r="V131" s="105">
        <f t="shared" si="73"/>
        <v>2</v>
      </c>
      <c r="W131" s="106">
        <f t="shared" si="74"/>
        <v>0.833333333333333</v>
      </c>
      <c r="X131" s="107">
        <f t="shared" si="75"/>
        <v>0.166666666666667</v>
      </c>
      <c r="Y131" s="105">
        <f t="shared" si="55"/>
        <v>0.476190476190476</v>
      </c>
      <c r="Z131" s="106">
        <f t="shared" si="56"/>
        <v>15.3561904761905</v>
      </c>
      <c r="AA131" s="106">
        <f t="shared" si="57"/>
        <v>12.4007619301182</v>
      </c>
      <c r="AB131" s="106">
        <v>0</v>
      </c>
      <c r="AC131" s="106">
        <f t="shared" si="58"/>
        <v>1.53778896447468</v>
      </c>
      <c r="AD131" s="107">
        <f t="shared" si="59"/>
        <v>1.53778896447468</v>
      </c>
      <c r="AE131" s="105">
        <f t="shared" si="60"/>
        <v>25.6266666666667</v>
      </c>
      <c r="AF131" s="106">
        <f t="shared" si="61"/>
        <v>12.4007619301182</v>
      </c>
      <c r="AG131" s="106">
        <f t="shared" si="76"/>
        <v>1.30712061980348</v>
      </c>
      <c r="AH131" s="106">
        <f t="shared" si="77"/>
        <v>2.01226706417696</v>
      </c>
      <c r="AI131" s="107">
        <f t="shared" si="62"/>
        <v>3.31938768398044</v>
      </c>
      <c r="AJ131" s="105">
        <f t="shared" si="63"/>
        <v>2.48</v>
      </c>
      <c r="AK131" s="106">
        <f t="shared" si="64"/>
        <v>6.17219167011181</v>
      </c>
      <c r="AL131" s="106">
        <f t="shared" si="65"/>
        <v>0.806</v>
      </c>
      <c r="AM131" s="106">
        <f t="shared" si="78"/>
        <v>0</v>
      </c>
      <c r="AN131" s="107">
        <f t="shared" si="66"/>
        <v>0.806</v>
      </c>
      <c r="AO131" s="105">
        <f t="shared" si="79"/>
        <v>1.53778896447468</v>
      </c>
      <c r="AP131" s="106">
        <f t="shared" si="54"/>
        <v>0.0756</v>
      </c>
      <c r="AQ131" s="107">
        <f t="shared" si="67"/>
        <v>0.0132</v>
      </c>
      <c r="AR131" s="105">
        <f t="shared" si="68"/>
        <v>5.75197664845512</v>
      </c>
      <c r="AS131" s="106">
        <f t="shared" si="69"/>
        <v>49.6</v>
      </c>
      <c r="AT131" s="107">
        <f t="shared" si="70"/>
        <v>89.6083627058409</v>
      </c>
    </row>
    <row r="132" spans="17:46">
      <c r="Q132">
        <v>125</v>
      </c>
      <c r="R132" s="105">
        <f t="shared" si="43"/>
        <v>20</v>
      </c>
      <c r="S132" s="106">
        <f t="shared" si="71"/>
        <v>2.5</v>
      </c>
      <c r="T132" s="106">
        <f t="shared" si="45"/>
        <v>4</v>
      </c>
      <c r="U132" s="107">
        <f t="shared" si="72"/>
        <v>12.5</v>
      </c>
      <c r="V132" s="105">
        <f t="shared" si="73"/>
        <v>2</v>
      </c>
      <c r="W132" s="106">
        <f t="shared" si="74"/>
        <v>0.833333333333333</v>
      </c>
      <c r="X132" s="107">
        <f t="shared" si="75"/>
        <v>0.166666666666667</v>
      </c>
      <c r="Y132" s="105">
        <f t="shared" si="55"/>
        <v>0.476190476190476</v>
      </c>
      <c r="Z132" s="106">
        <f t="shared" si="56"/>
        <v>15.4761904761905</v>
      </c>
      <c r="AA132" s="106">
        <f t="shared" si="57"/>
        <v>12.5007558350473</v>
      </c>
      <c r="AB132" s="106">
        <v>0</v>
      </c>
      <c r="AC132" s="106">
        <f t="shared" si="58"/>
        <v>1.56268896447468</v>
      </c>
      <c r="AD132" s="107">
        <f t="shared" si="59"/>
        <v>1.56268896447468</v>
      </c>
      <c r="AE132" s="105">
        <f t="shared" si="60"/>
        <v>26.0416666666667</v>
      </c>
      <c r="AF132" s="106">
        <f t="shared" si="61"/>
        <v>12.5007558350473</v>
      </c>
      <c r="AG132" s="106">
        <f t="shared" si="76"/>
        <v>1.32828561980348</v>
      </c>
      <c r="AH132" s="106">
        <f t="shared" si="77"/>
        <v>2.02849502437193</v>
      </c>
      <c r="AI132" s="107">
        <f t="shared" si="62"/>
        <v>3.35678064417541</v>
      </c>
      <c r="AJ132" s="105">
        <f t="shared" si="63"/>
        <v>2.5</v>
      </c>
      <c r="AK132" s="106">
        <f t="shared" si="64"/>
        <v>6.22117945586859</v>
      </c>
      <c r="AL132" s="106">
        <f t="shared" si="65"/>
        <v>0.8125</v>
      </c>
      <c r="AM132" s="106">
        <f t="shared" si="78"/>
        <v>0</v>
      </c>
      <c r="AN132" s="107">
        <f t="shared" si="66"/>
        <v>0.8125</v>
      </c>
      <c r="AO132" s="105">
        <f t="shared" si="79"/>
        <v>1.56268896447468</v>
      </c>
      <c r="AP132" s="106">
        <f t="shared" si="54"/>
        <v>0.0756</v>
      </c>
      <c r="AQ132" s="107">
        <f t="shared" si="67"/>
        <v>0.0132</v>
      </c>
      <c r="AR132" s="105">
        <f t="shared" si="68"/>
        <v>5.82076960865009</v>
      </c>
      <c r="AS132" s="106">
        <f t="shared" si="69"/>
        <v>50</v>
      </c>
      <c r="AT132" s="107">
        <f t="shared" si="70"/>
        <v>89.5723945594829</v>
      </c>
    </row>
    <row r="133" spans="17:46">
      <c r="Q133">
        <v>126</v>
      </c>
      <c r="R133" s="105">
        <f t="shared" si="43"/>
        <v>20</v>
      </c>
      <c r="S133" s="106">
        <f t="shared" si="71"/>
        <v>2.52</v>
      </c>
      <c r="T133" s="106">
        <f t="shared" si="45"/>
        <v>4</v>
      </c>
      <c r="U133" s="107">
        <f t="shared" si="72"/>
        <v>12.6</v>
      </c>
      <c r="V133" s="105">
        <f t="shared" si="73"/>
        <v>2</v>
      </c>
      <c r="W133" s="106">
        <f t="shared" si="74"/>
        <v>0.833333333333333</v>
      </c>
      <c r="X133" s="107">
        <f t="shared" si="75"/>
        <v>0.166666666666667</v>
      </c>
      <c r="Y133" s="105">
        <f t="shared" si="55"/>
        <v>0.476190476190476</v>
      </c>
      <c r="Z133" s="106">
        <f t="shared" si="56"/>
        <v>15.5961904761905</v>
      </c>
      <c r="AA133" s="106">
        <f t="shared" si="57"/>
        <v>12.6007498367148</v>
      </c>
      <c r="AB133" s="106">
        <v>0</v>
      </c>
      <c r="AC133" s="106">
        <f t="shared" si="58"/>
        <v>1.58778896447468</v>
      </c>
      <c r="AD133" s="107">
        <f t="shared" si="59"/>
        <v>1.58778896447468</v>
      </c>
      <c r="AE133" s="105">
        <f t="shared" si="60"/>
        <v>26.46</v>
      </c>
      <c r="AF133" s="106">
        <f t="shared" si="61"/>
        <v>12.6007498367148</v>
      </c>
      <c r="AG133" s="106">
        <f t="shared" si="76"/>
        <v>1.34962061980348</v>
      </c>
      <c r="AH133" s="106">
        <f t="shared" si="77"/>
        <v>2.04472298456691</v>
      </c>
      <c r="AI133" s="107">
        <f t="shared" si="62"/>
        <v>3.39434360437039</v>
      </c>
      <c r="AJ133" s="105">
        <f t="shared" si="63"/>
        <v>2.52</v>
      </c>
      <c r="AK133" s="106">
        <f t="shared" si="64"/>
        <v>6.27016727301953</v>
      </c>
      <c r="AL133" s="106">
        <f t="shared" si="65"/>
        <v>0.819</v>
      </c>
      <c r="AM133" s="106">
        <f t="shared" si="78"/>
        <v>0</v>
      </c>
      <c r="AN133" s="107">
        <f t="shared" si="66"/>
        <v>0.819</v>
      </c>
      <c r="AO133" s="105">
        <f t="shared" si="79"/>
        <v>1.58778896447468</v>
      </c>
      <c r="AP133" s="106">
        <f t="shared" si="54"/>
        <v>0.0756</v>
      </c>
      <c r="AQ133" s="107">
        <f t="shared" si="67"/>
        <v>0.0132</v>
      </c>
      <c r="AR133" s="105">
        <f t="shared" si="68"/>
        <v>5.88993256884507</v>
      </c>
      <c r="AS133" s="106">
        <f t="shared" si="69"/>
        <v>50.4</v>
      </c>
      <c r="AT133" s="107">
        <f t="shared" si="70"/>
        <v>89.5364369789546</v>
      </c>
    </row>
    <row r="134" spans="17:46">
      <c r="Q134">
        <v>127</v>
      </c>
      <c r="R134" s="105">
        <f t="shared" si="43"/>
        <v>20</v>
      </c>
      <c r="S134" s="106">
        <f t="shared" si="71"/>
        <v>2.54</v>
      </c>
      <c r="T134" s="106">
        <f t="shared" si="45"/>
        <v>4</v>
      </c>
      <c r="U134" s="107">
        <f t="shared" si="72"/>
        <v>12.7</v>
      </c>
      <c r="V134" s="105">
        <f t="shared" si="73"/>
        <v>2</v>
      </c>
      <c r="W134" s="106">
        <f t="shared" si="74"/>
        <v>0.833333333333333</v>
      </c>
      <c r="X134" s="107">
        <f t="shared" si="75"/>
        <v>0.166666666666667</v>
      </c>
      <c r="Y134" s="105">
        <f t="shared" si="55"/>
        <v>0.476190476190476</v>
      </c>
      <c r="Z134" s="106">
        <f t="shared" si="56"/>
        <v>15.7161904761905</v>
      </c>
      <c r="AA134" s="106">
        <f t="shared" si="57"/>
        <v>12.7007439328359</v>
      </c>
      <c r="AB134" s="106">
        <v>0</v>
      </c>
      <c r="AC134" s="106">
        <f t="shared" si="58"/>
        <v>1.61308896447468</v>
      </c>
      <c r="AD134" s="107">
        <f t="shared" si="59"/>
        <v>1.61308896447468</v>
      </c>
      <c r="AE134" s="105">
        <f t="shared" si="60"/>
        <v>26.8816666666667</v>
      </c>
      <c r="AF134" s="106">
        <f t="shared" si="61"/>
        <v>12.7007439328359</v>
      </c>
      <c r="AG134" s="106">
        <f t="shared" si="76"/>
        <v>1.37112561980348</v>
      </c>
      <c r="AH134" s="106">
        <f t="shared" si="77"/>
        <v>2.06095094476189</v>
      </c>
      <c r="AI134" s="107">
        <f t="shared" si="62"/>
        <v>3.43207656456536</v>
      </c>
      <c r="AJ134" s="105">
        <f t="shared" si="63"/>
        <v>2.54</v>
      </c>
      <c r="AK134" s="106">
        <f t="shared" si="64"/>
        <v>6.31915512083451</v>
      </c>
      <c r="AL134" s="106">
        <f t="shared" si="65"/>
        <v>0.8255</v>
      </c>
      <c r="AM134" s="106">
        <f t="shared" si="78"/>
        <v>0</v>
      </c>
      <c r="AN134" s="107">
        <f t="shared" si="66"/>
        <v>0.8255</v>
      </c>
      <c r="AO134" s="105">
        <f t="shared" si="79"/>
        <v>1.61308896447468</v>
      </c>
      <c r="AP134" s="106">
        <f t="shared" si="54"/>
        <v>0.0756</v>
      </c>
      <c r="AQ134" s="107">
        <f t="shared" si="67"/>
        <v>0.0132</v>
      </c>
      <c r="AR134" s="105">
        <f t="shared" si="68"/>
        <v>5.95946552904004</v>
      </c>
      <c r="AS134" s="106">
        <f t="shared" si="69"/>
        <v>50.8</v>
      </c>
      <c r="AT134" s="107">
        <f t="shared" si="70"/>
        <v>89.5004904054444</v>
      </c>
    </row>
    <row r="135" spans="17:46">
      <c r="Q135">
        <v>128</v>
      </c>
      <c r="R135" s="105">
        <f t="shared" ref="R135:R157" si="80">VOUT</f>
        <v>20</v>
      </c>
      <c r="S135" s="106">
        <f t="shared" ref="S135:S157" si="81">Q135*$O$12</f>
        <v>2.56</v>
      </c>
      <c r="T135" s="106">
        <f t="shared" ref="T135:T157" si="82">VIN_var</f>
        <v>4</v>
      </c>
      <c r="U135" s="107">
        <f t="shared" ref="U135:U157" si="83">(R135*S135)/(T135*EFF_est)</f>
        <v>12.8</v>
      </c>
      <c r="V135" s="105">
        <f t="shared" ref="V135:V157" si="84">IF(S135&lt;((T135^2)*R135)/(2*Fsw*Lm*((T135+R135)^2)),1,2)</f>
        <v>2</v>
      </c>
      <c r="W135" s="106">
        <f t="shared" ref="W135:W157" si="85">CHOOSE(V135,SQRT(2*Lm*R135*S135*Fsw)/T135,R135/(T135+R135))</f>
        <v>0.833333333333333</v>
      </c>
      <c r="X135" s="107">
        <f t="shared" ref="X135:X157" si="86">CHOOSE(V135,(Lm*Z135*Fsw)/(R135),1-W135)</f>
        <v>0.166666666666667</v>
      </c>
      <c r="Y135" s="105">
        <f t="shared" si="55"/>
        <v>0.476190476190476</v>
      </c>
      <c r="Z135" s="106">
        <f t="shared" si="56"/>
        <v>15.8361904761905</v>
      </c>
      <c r="AA135" s="106">
        <f t="shared" si="57"/>
        <v>12.8007381211971</v>
      </c>
      <c r="AB135" s="106">
        <v>0</v>
      </c>
      <c r="AC135" s="106">
        <f t="shared" si="58"/>
        <v>1.63858896447468</v>
      </c>
      <c r="AD135" s="107">
        <f t="shared" si="59"/>
        <v>1.63858896447468</v>
      </c>
      <c r="AE135" s="105">
        <f t="shared" si="60"/>
        <v>27.3066666666667</v>
      </c>
      <c r="AF135" s="106">
        <f t="shared" si="61"/>
        <v>12.8007381211971</v>
      </c>
      <c r="AG135" s="106">
        <f t="shared" ref="AG135:AG157" si="87">(AF135^2)*RDS_on</f>
        <v>1.39280061980348</v>
      </c>
      <c r="AH135" s="106">
        <f t="shared" ref="AH135:AH157" si="88">(((R135+T135)*(U135+S135))/2)*Fsw*(tr_sw+tf_sw)</f>
        <v>2.07717890495686</v>
      </c>
      <c r="AI135" s="107">
        <f t="shared" si="62"/>
        <v>3.46997952476034</v>
      </c>
      <c r="AJ135" s="105">
        <f t="shared" si="63"/>
        <v>2.56</v>
      </c>
      <c r="AK135" s="106">
        <f t="shared" si="64"/>
        <v>6.36814299860586</v>
      </c>
      <c r="AL135" s="106">
        <f t="shared" si="65"/>
        <v>0.832</v>
      </c>
      <c r="AM135" s="106">
        <f t="shared" ref="AM135:AM157" si="89">(R135+T135+Vd_rect)*Qrr*Fsw</f>
        <v>0</v>
      </c>
      <c r="AN135" s="107">
        <f t="shared" si="66"/>
        <v>0.832</v>
      </c>
      <c r="AO135" s="105">
        <f t="shared" ref="AO135:AO157" si="90">(AF135^2)*R_cs</f>
        <v>1.63858896447468</v>
      </c>
      <c r="AP135" s="106">
        <f t="shared" ref="AP135:AP157" si="91">Qg_tot*Vcc*Fsw</f>
        <v>0.0756</v>
      </c>
      <c r="AQ135" s="107">
        <f t="shared" si="67"/>
        <v>0.0132</v>
      </c>
      <c r="AR135" s="105">
        <f t="shared" si="68"/>
        <v>6.02936848923502</v>
      </c>
      <c r="AS135" s="106">
        <f t="shared" si="69"/>
        <v>51.2</v>
      </c>
      <c r="AT135" s="107">
        <f t="shared" si="70"/>
        <v>89.4645552652408</v>
      </c>
    </row>
    <row r="136" spans="17:46">
      <c r="Q136">
        <v>129</v>
      </c>
      <c r="R136" s="105">
        <f t="shared" si="80"/>
        <v>20</v>
      </c>
      <c r="S136" s="106">
        <f t="shared" si="81"/>
        <v>2.58</v>
      </c>
      <c r="T136" s="106">
        <f t="shared" si="82"/>
        <v>4</v>
      </c>
      <c r="U136" s="107">
        <f t="shared" si="83"/>
        <v>12.9</v>
      </c>
      <c r="V136" s="105">
        <f t="shared" si="84"/>
        <v>2</v>
      </c>
      <c r="W136" s="106">
        <f t="shared" si="85"/>
        <v>0.833333333333333</v>
      </c>
      <c r="X136" s="107">
        <f t="shared" si="86"/>
        <v>0.166666666666667</v>
      </c>
      <c r="Y136" s="105">
        <f t="shared" ref="Y136:Y157" si="92">(T136*W136)/(Lm*Fsw)</f>
        <v>0.476190476190476</v>
      </c>
      <c r="Z136" s="106">
        <f t="shared" ref="Z136:Z157" si="93">CHOOSE(V136,Y136,U136+S136+(Y136))</f>
        <v>15.9561904761905</v>
      </c>
      <c r="AA136" s="106">
        <f t="shared" ref="AA136:AA157" si="94">CHOOSE(V136,Z136*SQRT((W136+X136)/3),SQRT((U136^2)+((Y136^2)/12)))</f>
        <v>12.9007323996534</v>
      </c>
      <c r="AB136" s="106">
        <v>0</v>
      </c>
      <c r="AC136" s="106">
        <f t="shared" ref="AC136:AC157" si="95">(AA136^2)*Rdcr</f>
        <v>1.66428896447468</v>
      </c>
      <c r="AD136" s="107">
        <f t="shared" ref="AD136:AD157" si="96">AB136+AC136</f>
        <v>1.66428896447468</v>
      </c>
      <c r="AE136" s="105">
        <f t="shared" ref="AE136:AE157" si="97">U136*S136*W136</f>
        <v>27.735</v>
      </c>
      <c r="AF136" s="106">
        <f t="shared" ref="AF136:AF157" si="98">AA136</f>
        <v>12.9007323996534</v>
      </c>
      <c r="AG136" s="106">
        <f t="shared" si="87"/>
        <v>1.41464561980348</v>
      </c>
      <c r="AH136" s="106">
        <f t="shared" si="88"/>
        <v>2.09340686515184</v>
      </c>
      <c r="AI136" s="107">
        <f t="shared" ref="AI136:AI157" si="99">AG136+AH136</f>
        <v>3.50805248495531</v>
      </c>
      <c r="AJ136" s="105">
        <f t="shared" ref="AJ136:AJ157" si="100">S136</f>
        <v>2.58</v>
      </c>
      <c r="AK136" s="106">
        <f t="shared" ref="AK136:AK157" si="101">CHOOSE(V136,Z136*SQRT(X136/3),SQRT(X136*((Z136^2)+((Y136^2)/3)-(Y136*Z136))))</f>
        <v>6.41713090564753</v>
      </c>
      <c r="AL136" s="106">
        <f t="shared" ref="AL136:AL157" si="102">S136*Vd_rect</f>
        <v>0.8385</v>
      </c>
      <c r="AM136" s="106">
        <f t="shared" si="89"/>
        <v>0</v>
      </c>
      <c r="AN136" s="107">
        <f t="shared" ref="AN136:AN157" si="103">AL136+AM136</f>
        <v>0.8385</v>
      </c>
      <c r="AO136" s="105">
        <f t="shared" si="90"/>
        <v>1.66428896447468</v>
      </c>
      <c r="AP136" s="106">
        <f t="shared" si="91"/>
        <v>0.0756</v>
      </c>
      <c r="AQ136" s="107">
        <f t="shared" ref="AQ136:AQ157" si="104">IQ*T136</f>
        <v>0.0132</v>
      </c>
      <c r="AR136" s="105">
        <f t="shared" ref="AR136:AR157" si="105">AO136+AN136+AI136+AP136+AQ136</f>
        <v>6.09964144942999</v>
      </c>
      <c r="AS136" s="106">
        <f t="shared" ref="AS136:AS157" si="106">R136*S136</f>
        <v>51.6</v>
      </c>
      <c r="AT136" s="107">
        <f t="shared" ref="AT136:AT157" si="107">(AS136/(AS136+AR136))*100</f>
        <v>89.4286319703114</v>
      </c>
    </row>
    <row r="137" spans="17:46">
      <c r="Q137">
        <v>130</v>
      </c>
      <c r="R137" s="105">
        <f t="shared" si="80"/>
        <v>20</v>
      </c>
      <c r="S137" s="106">
        <f t="shared" si="81"/>
        <v>2.6</v>
      </c>
      <c r="T137" s="106">
        <f t="shared" si="82"/>
        <v>4</v>
      </c>
      <c r="U137" s="107">
        <f t="shared" si="83"/>
        <v>13</v>
      </c>
      <c r="V137" s="105">
        <f t="shared" si="84"/>
        <v>2</v>
      </c>
      <c r="W137" s="106">
        <f t="shared" si="85"/>
        <v>0.833333333333333</v>
      </c>
      <c r="X137" s="107">
        <f t="shared" si="86"/>
        <v>0.166666666666667</v>
      </c>
      <c r="Y137" s="105">
        <f t="shared" si="92"/>
        <v>0.476190476190476</v>
      </c>
      <c r="Z137" s="106">
        <f t="shared" si="93"/>
        <v>16.0761904761905</v>
      </c>
      <c r="AA137" s="106">
        <f t="shared" si="94"/>
        <v>13.0007267661261</v>
      </c>
      <c r="AB137" s="106">
        <v>0</v>
      </c>
      <c r="AC137" s="106">
        <f t="shared" si="95"/>
        <v>1.69018896447468</v>
      </c>
      <c r="AD137" s="107">
        <f t="shared" si="96"/>
        <v>1.69018896447468</v>
      </c>
      <c r="AE137" s="105">
        <f t="shared" si="97"/>
        <v>28.1666666666667</v>
      </c>
      <c r="AF137" s="106">
        <f t="shared" si="98"/>
        <v>13.0007267661261</v>
      </c>
      <c r="AG137" s="106">
        <f t="shared" si="87"/>
        <v>1.43666061980348</v>
      </c>
      <c r="AH137" s="106">
        <f t="shared" si="88"/>
        <v>2.10963482534681</v>
      </c>
      <c r="AI137" s="107">
        <f t="shared" si="99"/>
        <v>3.54629544515029</v>
      </c>
      <c r="AJ137" s="105">
        <f t="shared" si="100"/>
        <v>2.6</v>
      </c>
      <c r="AK137" s="106">
        <f t="shared" si="101"/>
        <v>6.46611884129425</v>
      </c>
      <c r="AL137" s="106">
        <f t="shared" si="102"/>
        <v>0.845</v>
      </c>
      <c r="AM137" s="106">
        <f t="shared" si="89"/>
        <v>0</v>
      </c>
      <c r="AN137" s="107">
        <f t="shared" si="103"/>
        <v>0.845</v>
      </c>
      <c r="AO137" s="105">
        <f t="shared" si="90"/>
        <v>1.69018896447468</v>
      </c>
      <c r="AP137" s="106">
        <f t="shared" si="91"/>
        <v>0.0756</v>
      </c>
      <c r="AQ137" s="107">
        <f t="shared" si="104"/>
        <v>0.0132</v>
      </c>
      <c r="AR137" s="105">
        <f t="shared" si="105"/>
        <v>6.17028440962497</v>
      </c>
      <c r="AS137" s="106">
        <f t="shared" si="106"/>
        <v>52</v>
      </c>
      <c r="AT137" s="107">
        <f t="shared" si="107"/>
        <v>89.3927209188545</v>
      </c>
    </row>
    <row r="138" spans="17:46">
      <c r="Q138">
        <v>131</v>
      </c>
      <c r="R138" s="105">
        <f t="shared" si="80"/>
        <v>20</v>
      </c>
      <c r="S138" s="106">
        <f t="shared" si="81"/>
        <v>2.62</v>
      </c>
      <c r="T138" s="106">
        <f t="shared" si="82"/>
        <v>4</v>
      </c>
      <c r="U138" s="107">
        <f t="shared" si="83"/>
        <v>13.1</v>
      </c>
      <c r="V138" s="105">
        <f t="shared" si="84"/>
        <v>2</v>
      </c>
      <c r="W138" s="106">
        <f t="shared" si="85"/>
        <v>0.833333333333333</v>
      </c>
      <c r="X138" s="107">
        <f t="shared" si="86"/>
        <v>0.166666666666667</v>
      </c>
      <c r="Y138" s="105">
        <f t="shared" si="92"/>
        <v>0.476190476190476</v>
      </c>
      <c r="Z138" s="106">
        <f t="shared" si="93"/>
        <v>16.1961904761905</v>
      </c>
      <c r="AA138" s="106">
        <f t="shared" si="94"/>
        <v>13.1007212185997</v>
      </c>
      <c r="AB138" s="106">
        <v>0</v>
      </c>
      <c r="AC138" s="106">
        <f t="shared" si="95"/>
        <v>1.71628896447468</v>
      </c>
      <c r="AD138" s="107">
        <f t="shared" si="96"/>
        <v>1.71628896447468</v>
      </c>
      <c r="AE138" s="105">
        <f t="shared" si="97"/>
        <v>28.6016666666667</v>
      </c>
      <c r="AF138" s="106">
        <f t="shared" si="98"/>
        <v>13.1007212185997</v>
      </c>
      <c r="AG138" s="106">
        <f t="shared" si="87"/>
        <v>1.45884561980348</v>
      </c>
      <c r="AH138" s="106">
        <f t="shared" si="88"/>
        <v>2.12586278554179</v>
      </c>
      <c r="AI138" s="107">
        <f t="shared" si="99"/>
        <v>3.58470840534527</v>
      </c>
      <c r="AJ138" s="105">
        <f t="shared" si="100"/>
        <v>2.62</v>
      </c>
      <c r="AK138" s="106">
        <f t="shared" si="101"/>
        <v>6.51510680490077</v>
      </c>
      <c r="AL138" s="106">
        <f t="shared" si="102"/>
        <v>0.8515</v>
      </c>
      <c r="AM138" s="106">
        <f t="shared" si="89"/>
        <v>0</v>
      </c>
      <c r="AN138" s="107">
        <f t="shared" si="103"/>
        <v>0.8515</v>
      </c>
      <c r="AO138" s="105">
        <f t="shared" si="90"/>
        <v>1.71628896447468</v>
      </c>
      <c r="AP138" s="106">
        <f t="shared" si="91"/>
        <v>0.0756</v>
      </c>
      <c r="AQ138" s="107">
        <f t="shared" si="104"/>
        <v>0.0132</v>
      </c>
      <c r="AR138" s="105">
        <f t="shared" si="105"/>
        <v>6.24129736981994</v>
      </c>
      <c r="AS138" s="106">
        <f t="shared" si="106"/>
        <v>52.4</v>
      </c>
      <c r="AT138" s="107">
        <f t="shared" si="107"/>
        <v>89.3568224958269</v>
      </c>
    </row>
    <row r="139" spans="17:46">
      <c r="Q139">
        <v>132</v>
      </c>
      <c r="R139" s="105">
        <f t="shared" si="80"/>
        <v>20</v>
      </c>
      <c r="S139" s="106">
        <f t="shared" si="81"/>
        <v>2.64</v>
      </c>
      <c r="T139" s="106">
        <f t="shared" si="82"/>
        <v>4</v>
      </c>
      <c r="U139" s="107">
        <f t="shared" si="83"/>
        <v>13.2</v>
      </c>
      <c r="V139" s="105">
        <f t="shared" si="84"/>
        <v>2</v>
      </c>
      <c r="W139" s="106">
        <f t="shared" si="85"/>
        <v>0.833333333333333</v>
      </c>
      <c r="X139" s="107">
        <f t="shared" si="86"/>
        <v>0.166666666666667</v>
      </c>
      <c r="Y139" s="105">
        <f t="shared" si="92"/>
        <v>0.476190476190476</v>
      </c>
      <c r="Z139" s="106">
        <f t="shared" si="93"/>
        <v>16.3161904761905</v>
      </c>
      <c r="AA139" s="106">
        <f t="shared" si="94"/>
        <v>13.2007157551198</v>
      </c>
      <c r="AB139" s="106">
        <v>0</v>
      </c>
      <c r="AC139" s="106">
        <f t="shared" si="95"/>
        <v>1.74258896447468</v>
      </c>
      <c r="AD139" s="107">
        <f t="shared" si="96"/>
        <v>1.74258896447468</v>
      </c>
      <c r="AE139" s="105">
        <f t="shared" si="97"/>
        <v>29.04</v>
      </c>
      <c r="AF139" s="106">
        <f t="shared" si="98"/>
        <v>13.2007157551198</v>
      </c>
      <c r="AG139" s="106">
        <f t="shared" si="87"/>
        <v>1.48120061980348</v>
      </c>
      <c r="AH139" s="106">
        <f t="shared" si="88"/>
        <v>2.14209074573676</v>
      </c>
      <c r="AI139" s="107">
        <f t="shared" si="99"/>
        <v>3.62329136554024</v>
      </c>
      <c r="AJ139" s="105">
        <f t="shared" si="100"/>
        <v>2.64</v>
      </c>
      <c r="AK139" s="106">
        <f t="shared" si="101"/>
        <v>6.56409479584109</v>
      </c>
      <c r="AL139" s="106">
        <f t="shared" si="102"/>
        <v>0.858</v>
      </c>
      <c r="AM139" s="106">
        <f t="shared" si="89"/>
        <v>0</v>
      </c>
      <c r="AN139" s="107">
        <f t="shared" si="103"/>
        <v>0.858</v>
      </c>
      <c r="AO139" s="105">
        <f t="shared" si="90"/>
        <v>1.74258896447468</v>
      </c>
      <c r="AP139" s="106">
        <f t="shared" si="91"/>
        <v>0.0756</v>
      </c>
      <c r="AQ139" s="107">
        <f t="shared" si="104"/>
        <v>0.0132</v>
      </c>
      <c r="AR139" s="105">
        <f t="shared" si="105"/>
        <v>6.31268033001492</v>
      </c>
      <c r="AS139" s="106">
        <f t="shared" si="106"/>
        <v>52.8</v>
      </c>
      <c r="AT139" s="107">
        <f t="shared" si="107"/>
        <v>89.3209370734461</v>
      </c>
    </row>
    <row r="140" spans="17:46">
      <c r="Q140">
        <v>133</v>
      </c>
      <c r="R140" s="105">
        <f t="shared" si="80"/>
        <v>20</v>
      </c>
      <c r="S140" s="106">
        <f t="shared" si="81"/>
        <v>2.66</v>
      </c>
      <c r="T140" s="106">
        <f t="shared" si="82"/>
        <v>4</v>
      </c>
      <c r="U140" s="107">
        <f t="shared" si="83"/>
        <v>13.3</v>
      </c>
      <c r="V140" s="105">
        <f t="shared" si="84"/>
        <v>2</v>
      </c>
      <c r="W140" s="106">
        <f t="shared" si="85"/>
        <v>0.833333333333333</v>
      </c>
      <c r="X140" s="107">
        <f t="shared" si="86"/>
        <v>0.166666666666667</v>
      </c>
      <c r="Y140" s="105">
        <f t="shared" si="92"/>
        <v>0.476190476190476</v>
      </c>
      <c r="Z140" s="106">
        <f t="shared" si="93"/>
        <v>16.4361904761905</v>
      </c>
      <c r="AA140" s="106">
        <f t="shared" si="94"/>
        <v>13.3007103737909</v>
      </c>
      <c r="AB140" s="106">
        <v>0</v>
      </c>
      <c r="AC140" s="106">
        <f t="shared" si="95"/>
        <v>1.76908896447468</v>
      </c>
      <c r="AD140" s="107">
        <f t="shared" si="96"/>
        <v>1.76908896447468</v>
      </c>
      <c r="AE140" s="105">
        <f t="shared" si="97"/>
        <v>29.4816666666667</v>
      </c>
      <c r="AF140" s="106">
        <f t="shared" si="98"/>
        <v>13.3007103737909</v>
      </c>
      <c r="AG140" s="106">
        <f t="shared" si="87"/>
        <v>1.50372561980348</v>
      </c>
      <c r="AH140" s="106">
        <f t="shared" si="88"/>
        <v>2.15831870593174</v>
      </c>
      <c r="AI140" s="107">
        <f t="shared" si="99"/>
        <v>3.66204432573522</v>
      </c>
      <c r="AJ140" s="105">
        <f t="shared" si="100"/>
        <v>2.66</v>
      </c>
      <c r="AK140" s="106">
        <f t="shared" si="101"/>
        <v>6.61308281350778</v>
      </c>
      <c r="AL140" s="106">
        <f t="shared" si="102"/>
        <v>0.8645</v>
      </c>
      <c r="AM140" s="106">
        <f t="shared" si="89"/>
        <v>0</v>
      </c>
      <c r="AN140" s="107">
        <f t="shared" si="103"/>
        <v>0.8645</v>
      </c>
      <c r="AO140" s="105">
        <f t="shared" si="90"/>
        <v>1.76908896447468</v>
      </c>
      <c r="AP140" s="106">
        <f t="shared" si="91"/>
        <v>0.0756</v>
      </c>
      <c r="AQ140" s="107">
        <f t="shared" si="104"/>
        <v>0.0132</v>
      </c>
      <c r="AR140" s="105">
        <f t="shared" si="105"/>
        <v>6.3844332902099</v>
      </c>
      <c r="AS140" s="106">
        <f t="shared" si="106"/>
        <v>53.2</v>
      </c>
      <c r="AT140" s="107">
        <f t="shared" si="107"/>
        <v>89.2850650116716</v>
      </c>
    </row>
    <row r="141" spans="17:46">
      <c r="Q141">
        <v>134</v>
      </c>
      <c r="R141" s="105">
        <f t="shared" si="80"/>
        <v>20</v>
      </c>
      <c r="S141" s="106">
        <f t="shared" si="81"/>
        <v>2.68</v>
      </c>
      <c r="T141" s="106">
        <f t="shared" si="82"/>
        <v>4</v>
      </c>
      <c r="U141" s="107">
        <f t="shared" si="83"/>
        <v>13.4</v>
      </c>
      <c r="V141" s="105">
        <f t="shared" si="84"/>
        <v>2</v>
      </c>
      <c r="W141" s="106">
        <f t="shared" si="85"/>
        <v>0.833333333333333</v>
      </c>
      <c r="X141" s="107">
        <f t="shared" si="86"/>
        <v>0.166666666666667</v>
      </c>
      <c r="Y141" s="105">
        <f t="shared" si="92"/>
        <v>0.476190476190476</v>
      </c>
      <c r="Z141" s="106">
        <f t="shared" si="93"/>
        <v>16.5561904761905</v>
      </c>
      <c r="AA141" s="106">
        <f t="shared" si="94"/>
        <v>13.4007050727739</v>
      </c>
      <c r="AB141" s="106">
        <v>0</v>
      </c>
      <c r="AC141" s="106">
        <f t="shared" si="95"/>
        <v>1.79578896447468</v>
      </c>
      <c r="AD141" s="107">
        <f t="shared" si="96"/>
        <v>1.79578896447468</v>
      </c>
      <c r="AE141" s="105">
        <f t="shared" si="97"/>
        <v>29.9266666666667</v>
      </c>
      <c r="AF141" s="106">
        <f t="shared" si="98"/>
        <v>13.4007050727739</v>
      </c>
      <c r="AG141" s="106">
        <f t="shared" si="87"/>
        <v>1.52642061980348</v>
      </c>
      <c r="AH141" s="106">
        <f t="shared" si="88"/>
        <v>2.17454666612671</v>
      </c>
      <c r="AI141" s="107">
        <f t="shared" si="99"/>
        <v>3.70096728593019</v>
      </c>
      <c r="AJ141" s="105">
        <f t="shared" si="100"/>
        <v>2.68</v>
      </c>
      <c r="AK141" s="106">
        <f t="shared" si="101"/>
        <v>6.66207085731124</v>
      </c>
      <c r="AL141" s="106">
        <f t="shared" si="102"/>
        <v>0.871</v>
      </c>
      <c r="AM141" s="106">
        <f t="shared" si="89"/>
        <v>0</v>
      </c>
      <c r="AN141" s="107">
        <f t="shared" si="103"/>
        <v>0.871</v>
      </c>
      <c r="AO141" s="105">
        <f t="shared" si="90"/>
        <v>1.79578896447468</v>
      </c>
      <c r="AP141" s="106">
        <f t="shared" si="91"/>
        <v>0.0756</v>
      </c>
      <c r="AQ141" s="107">
        <f t="shared" si="104"/>
        <v>0.0132</v>
      </c>
      <c r="AR141" s="105">
        <f t="shared" si="105"/>
        <v>6.45655625040487</v>
      </c>
      <c r="AS141" s="106">
        <f t="shared" si="106"/>
        <v>53.6</v>
      </c>
      <c r="AT141" s="107">
        <f t="shared" si="107"/>
        <v>89.2492066586629</v>
      </c>
    </row>
    <row r="142" spans="17:46">
      <c r="Q142">
        <v>135</v>
      </c>
      <c r="R142" s="105">
        <f t="shared" si="80"/>
        <v>20</v>
      </c>
      <c r="S142" s="106">
        <f t="shared" si="81"/>
        <v>2.7</v>
      </c>
      <c r="T142" s="106">
        <f t="shared" si="82"/>
        <v>4</v>
      </c>
      <c r="U142" s="107">
        <f t="shared" si="83"/>
        <v>13.5</v>
      </c>
      <c r="V142" s="105">
        <f t="shared" si="84"/>
        <v>2</v>
      </c>
      <c r="W142" s="106">
        <f t="shared" si="85"/>
        <v>0.833333333333333</v>
      </c>
      <c r="X142" s="107">
        <f t="shared" si="86"/>
        <v>0.166666666666667</v>
      </c>
      <c r="Y142" s="105">
        <f t="shared" si="92"/>
        <v>0.476190476190476</v>
      </c>
      <c r="Z142" s="106">
        <f t="shared" si="93"/>
        <v>16.6761904761905</v>
      </c>
      <c r="AA142" s="106">
        <f t="shared" si="94"/>
        <v>13.5006998502844</v>
      </c>
      <c r="AB142" s="106">
        <v>0</v>
      </c>
      <c r="AC142" s="106">
        <f t="shared" si="95"/>
        <v>1.82268896447468</v>
      </c>
      <c r="AD142" s="107">
        <f t="shared" si="96"/>
        <v>1.82268896447468</v>
      </c>
      <c r="AE142" s="105">
        <f t="shared" si="97"/>
        <v>30.375</v>
      </c>
      <c r="AF142" s="106">
        <f t="shared" si="98"/>
        <v>13.5006998502844</v>
      </c>
      <c r="AG142" s="106">
        <f t="shared" si="87"/>
        <v>1.54928561980348</v>
      </c>
      <c r="AH142" s="106">
        <f t="shared" si="88"/>
        <v>2.19077462632169</v>
      </c>
      <c r="AI142" s="107">
        <f t="shared" si="99"/>
        <v>3.74006024612517</v>
      </c>
      <c r="AJ142" s="105">
        <f t="shared" si="100"/>
        <v>2.7</v>
      </c>
      <c r="AK142" s="106">
        <f t="shared" si="101"/>
        <v>6.71105892667912</v>
      </c>
      <c r="AL142" s="106">
        <f t="shared" si="102"/>
        <v>0.8775</v>
      </c>
      <c r="AM142" s="106">
        <f t="shared" si="89"/>
        <v>0</v>
      </c>
      <c r="AN142" s="107">
        <f t="shared" si="103"/>
        <v>0.8775</v>
      </c>
      <c r="AO142" s="105">
        <f t="shared" si="90"/>
        <v>1.82268896447468</v>
      </c>
      <c r="AP142" s="106">
        <f t="shared" si="91"/>
        <v>0.0756</v>
      </c>
      <c r="AQ142" s="107">
        <f t="shared" si="104"/>
        <v>0.0132</v>
      </c>
      <c r="AR142" s="105">
        <f t="shared" si="105"/>
        <v>6.52904921059984</v>
      </c>
      <c r="AS142" s="106">
        <f t="shared" si="106"/>
        <v>54</v>
      </c>
      <c r="AT142" s="107">
        <f t="shared" si="107"/>
        <v>89.2133623512188</v>
      </c>
    </row>
    <row r="143" spans="17:46">
      <c r="Q143">
        <v>136</v>
      </c>
      <c r="R143" s="105">
        <f t="shared" si="80"/>
        <v>20</v>
      </c>
      <c r="S143" s="106">
        <f t="shared" si="81"/>
        <v>2.72</v>
      </c>
      <c r="T143" s="106">
        <f t="shared" si="82"/>
        <v>4</v>
      </c>
      <c r="U143" s="107">
        <f t="shared" si="83"/>
        <v>13.6</v>
      </c>
      <c r="V143" s="105">
        <f t="shared" si="84"/>
        <v>2</v>
      </c>
      <c r="W143" s="106">
        <f t="shared" si="85"/>
        <v>0.833333333333333</v>
      </c>
      <c r="X143" s="107">
        <f t="shared" si="86"/>
        <v>0.166666666666667</v>
      </c>
      <c r="Y143" s="105">
        <f t="shared" si="92"/>
        <v>0.476190476190476</v>
      </c>
      <c r="Z143" s="106">
        <f t="shared" si="93"/>
        <v>16.7961904761905</v>
      </c>
      <c r="AA143" s="106">
        <f t="shared" si="94"/>
        <v>13.6006947045902</v>
      </c>
      <c r="AB143" s="106">
        <v>0</v>
      </c>
      <c r="AC143" s="106">
        <f t="shared" si="95"/>
        <v>1.84978896447468</v>
      </c>
      <c r="AD143" s="107">
        <f t="shared" si="96"/>
        <v>1.84978896447468</v>
      </c>
      <c r="AE143" s="105">
        <f t="shared" si="97"/>
        <v>30.8266666666667</v>
      </c>
      <c r="AF143" s="106">
        <f t="shared" si="98"/>
        <v>13.6006947045902</v>
      </c>
      <c r="AG143" s="106">
        <f t="shared" si="87"/>
        <v>1.57232061980348</v>
      </c>
      <c r="AH143" s="106">
        <f t="shared" si="88"/>
        <v>2.20700258651667</v>
      </c>
      <c r="AI143" s="107">
        <f t="shared" si="99"/>
        <v>3.77932320632014</v>
      </c>
      <c r="AJ143" s="105">
        <f t="shared" si="100"/>
        <v>2.72</v>
      </c>
      <c r="AK143" s="106">
        <f t="shared" si="101"/>
        <v>6.76004702105565</v>
      </c>
      <c r="AL143" s="106">
        <f t="shared" si="102"/>
        <v>0.884</v>
      </c>
      <c r="AM143" s="106">
        <f t="shared" si="89"/>
        <v>0</v>
      </c>
      <c r="AN143" s="107">
        <f t="shared" si="103"/>
        <v>0.884</v>
      </c>
      <c r="AO143" s="105">
        <f t="shared" si="90"/>
        <v>1.84978896447468</v>
      </c>
      <c r="AP143" s="106">
        <f t="shared" si="91"/>
        <v>0.0756</v>
      </c>
      <c r="AQ143" s="107">
        <f t="shared" si="104"/>
        <v>0.0132</v>
      </c>
      <c r="AR143" s="105">
        <f t="shared" si="105"/>
        <v>6.60191217079482</v>
      </c>
      <c r="AS143" s="106">
        <f t="shared" si="106"/>
        <v>54.4</v>
      </c>
      <c r="AT143" s="107">
        <f t="shared" si="107"/>
        <v>89.1775324151961</v>
      </c>
    </row>
    <row r="144" spans="17:46">
      <c r="Q144">
        <v>137</v>
      </c>
      <c r="R144" s="105">
        <f t="shared" si="80"/>
        <v>20</v>
      </c>
      <c r="S144" s="106">
        <f t="shared" si="81"/>
        <v>2.74</v>
      </c>
      <c r="T144" s="106">
        <f t="shared" si="82"/>
        <v>4</v>
      </c>
      <c r="U144" s="107">
        <f t="shared" si="83"/>
        <v>13.7</v>
      </c>
      <c r="V144" s="105">
        <f t="shared" si="84"/>
        <v>2</v>
      </c>
      <c r="W144" s="106">
        <f t="shared" si="85"/>
        <v>0.833333333333333</v>
      </c>
      <c r="X144" s="107">
        <f t="shared" si="86"/>
        <v>0.166666666666667</v>
      </c>
      <c r="Y144" s="105">
        <f t="shared" si="92"/>
        <v>0.476190476190476</v>
      </c>
      <c r="Z144" s="106">
        <f t="shared" si="93"/>
        <v>16.9161904761905</v>
      </c>
      <c r="AA144" s="106">
        <f t="shared" si="94"/>
        <v>13.70068963401</v>
      </c>
      <c r="AB144" s="106">
        <v>0</v>
      </c>
      <c r="AC144" s="106">
        <f t="shared" si="95"/>
        <v>1.87708896447468</v>
      </c>
      <c r="AD144" s="107">
        <f t="shared" si="96"/>
        <v>1.87708896447468</v>
      </c>
      <c r="AE144" s="105">
        <f t="shared" si="97"/>
        <v>31.2816666666667</v>
      </c>
      <c r="AF144" s="106">
        <f t="shared" si="98"/>
        <v>13.70068963401</v>
      </c>
      <c r="AG144" s="106">
        <f t="shared" si="87"/>
        <v>1.59552561980348</v>
      </c>
      <c r="AH144" s="106">
        <f t="shared" si="88"/>
        <v>2.22323054671164</v>
      </c>
      <c r="AI144" s="107">
        <f t="shared" si="99"/>
        <v>3.81875616651512</v>
      </c>
      <c r="AJ144" s="105">
        <f t="shared" si="100"/>
        <v>2.74</v>
      </c>
      <c r="AK144" s="106">
        <f t="shared" si="101"/>
        <v>6.80903513990104</v>
      </c>
      <c r="AL144" s="106">
        <f t="shared" si="102"/>
        <v>0.8905</v>
      </c>
      <c r="AM144" s="106">
        <f t="shared" si="89"/>
        <v>0</v>
      </c>
      <c r="AN144" s="107">
        <f t="shared" si="103"/>
        <v>0.8905</v>
      </c>
      <c r="AO144" s="105">
        <f t="shared" si="90"/>
        <v>1.87708896447468</v>
      </c>
      <c r="AP144" s="106">
        <f t="shared" si="91"/>
        <v>0.0756</v>
      </c>
      <c r="AQ144" s="107">
        <f t="shared" si="104"/>
        <v>0.0132</v>
      </c>
      <c r="AR144" s="105">
        <f t="shared" si="105"/>
        <v>6.6751451309898</v>
      </c>
      <c r="AS144" s="106">
        <f t="shared" si="106"/>
        <v>54.8</v>
      </c>
      <c r="AT144" s="107">
        <f t="shared" si="107"/>
        <v>89.1417171659106</v>
      </c>
    </row>
    <row r="145" spans="17:46">
      <c r="Q145">
        <v>138</v>
      </c>
      <c r="R145" s="105">
        <f t="shared" si="80"/>
        <v>20</v>
      </c>
      <c r="S145" s="106">
        <f t="shared" si="81"/>
        <v>2.76</v>
      </c>
      <c r="T145" s="106">
        <f t="shared" si="82"/>
        <v>4</v>
      </c>
      <c r="U145" s="107">
        <f t="shared" si="83"/>
        <v>13.8</v>
      </c>
      <c r="V145" s="105">
        <f t="shared" si="84"/>
        <v>2</v>
      </c>
      <c r="W145" s="106">
        <f t="shared" si="85"/>
        <v>0.833333333333333</v>
      </c>
      <c r="X145" s="107">
        <f t="shared" si="86"/>
        <v>0.166666666666667</v>
      </c>
      <c r="Y145" s="105">
        <f t="shared" si="92"/>
        <v>0.476190476190476</v>
      </c>
      <c r="Z145" s="106">
        <f t="shared" si="93"/>
        <v>17.0361904761905</v>
      </c>
      <c r="AA145" s="106">
        <f t="shared" si="94"/>
        <v>13.8006846369109</v>
      </c>
      <c r="AB145" s="106">
        <v>0</v>
      </c>
      <c r="AC145" s="106">
        <f t="shared" si="95"/>
        <v>1.90458896447468</v>
      </c>
      <c r="AD145" s="107">
        <f t="shared" si="96"/>
        <v>1.90458896447468</v>
      </c>
      <c r="AE145" s="105">
        <f t="shared" si="97"/>
        <v>31.74</v>
      </c>
      <c r="AF145" s="106">
        <f t="shared" si="98"/>
        <v>13.8006846369109</v>
      </c>
      <c r="AG145" s="106">
        <f t="shared" si="87"/>
        <v>1.61890061980348</v>
      </c>
      <c r="AH145" s="106">
        <f t="shared" si="88"/>
        <v>2.23945850690662</v>
      </c>
      <c r="AI145" s="107">
        <f t="shared" si="99"/>
        <v>3.85835912671009</v>
      </c>
      <c r="AJ145" s="105">
        <f t="shared" si="100"/>
        <v>2.76</v>
      </c>
      <c r="AK145" s="106">
        <f t="shared" si="101"/>
        <v>6.85802328269094</v>
      </c>
      <c r="AL145" s="106">
        <f t="shared" si="102"/>
        <v>0.897</v>
      </c>
      <c r="AM145" s="106">
        <f t="shared" si="89"/>
        <v>0</v>
      </c>
      <c r="AN145" s="107">
        <f t="shared" si="103"/>
        <v>0.897</v>
      </c>
      <c r="AO145" s="105">
        <f t="shared" si="90"/>
        <v>1.90458896447468</v>
      </c>
      <c r="AP145" s="106">
        <f t="shared" si="91"/>
        <v>0.0756</v>
      </c>
      <c r="AQ145" s="107">
        <f t="shared" si="104"/>
        <v>0.0132</v>
      </c>
      <c r="AR145" s="105">
        <f t="shared" si="105"/>
        <v>6.74874809118477</v>
      </c>
      <c r="AS145" s="106">
        <f t="shared" si="106"/>
        <v>55.2</v>
      </c>
      <c r="AT145" s="107">
        <f t="shared" si="107"/>
        <v>89.1059169085209</v>
      </c>
    </row>
    <row r="146" spans="17:46">
      <c r="Q146">
        <v>139</v>
      </c>
      <c r="R146" s="105">
        <f t="shared" si="80"/>
        <v>20</v>
      </c>
      <c r="S146" s="106">
        <f t="shared" si="81"/>
        <v>2.78</v>
      </c>
      <c r="T146" s="106">
        <f t="shared" si="82"/>
        <v>4</v>
      </c>
      <c r="U146" s="107">
        <f t="shared" si="83"/>
        <v>13.9</v>
      </c>
      <c r="V146" s="105">
        <f t="shared" si="84"/>
        <v>2</v>
      </c>
      <c r="W146" s="106">
        <f t="shared" si="85"/>
        <v>0.833333333333333</v>
      </c>
      <c r="X146" s="107">
        <f t="shared" si="86"/>
        <v>0.166666666666667</v>
      </c>
      <c r="Y146" s="105">
        <f t="shared" si="92"/>
        <v>0.476190476190476</v>
      </c>
      <c r="Z146" s="106">
        <f t="shared" si="93"/>
        <v>17.1561904761905</v>
      </c>
      <c r="AA146" s="106">
        <f t="shared" si="94"/>
        <v>13.9006797117072</v>
      </c>
      <c r="AB146" s="106">
        <v>0</v>
      </c>
      <c r="AC146" s="106">
        <f t="shared" si="95"/>
        <v>1.93228896447468</v>
      </c>
      <c r="AD146" s="107">
        <f t="shared" si="96"/>
        <v>1.93228896447468</v>
      </c>
      <c r="AE146" s="105">
        <f t="shared" si="97"/>
        <v>32.2016666666667</v>
      </c>
      <c r="AF146" s="106">
        <f t="shared" si="98"/>
        <v>13.9006797117072</v>
      </c>
      <c r="AG146" s="106">
        <f t="shared" si="87"/>
        <v>1.64244561980348</v>
      </c>
      <c r="AH146" s="106">
        <f t="shared" si="88"/>
        <v>2.25568646710159</v>
      </c>
      <c r="AI146" s="107">
        <f t="shared" si="99"/>
        <v>3.89813208690507</v>
      </c>
      <c r="AJ146" s="105">
        <f t="shared" si="100"/>
        <v>2.78</v>
      </c>
      <c r="AK146" s="106">
        <f t="shared" si="101"/>
        <v>6.90701144891586</v>
      </c>
      <c r="AL146" s="106">
        <f t="shared" si="102"/>
        <v>0.9035</v>
      </c>
      <c r="AM146" s="106">
        <f t="shared" si="89"/>
        <v>0</v>
      </c>
      <c r="AN146" s="107">
        <f t="shared" si="103"/>
        <v>0.9035</v>
      </c>
      <c r="AO146" s="105">
        <f t="shared" si="90"/>
        <v>1.93228896447468</v>
      </c>
      <c r="AP146" s="106">
        <f t="shared" si="91"/>
        <v>0.0756</v>
      </c>
      <c r="AQ146" s="107">
        <f t="shared" si="104"/>
        <v>0.0132</v>
      </c>
      <c r="AR146" s="105">
        <f t="shared" si="105"/>
        <v>6.82272105137975</v>
      </c>
      <c r="AS146" s="106">
        <f t="shared" si="106"/>
        <v>55.6</v>
      </c>
      <c r="AT146" s="107">
        <f t="shared" si="107"/>
        <v>89.0701319383947</v>
      </c>
    </row>
    <row r="147" spans="17:46">
      <c r="Q147">
        <v>140</v>
      </c>
      <c r="R147" s="105">
        <f t="shared" si="80"/>
        <v>20</v>
      </c>
      <c r="S147" s="106">
        <f t="shared" si="81"/>
        <v>2.8</v>
      </c>
      <c r="T147" s="106">
        <f t="shared" si="82"/>
        <v>4</v>
      </c>
      <c r="U147" s="107">
        <f t="shared" si="83"/>
        <v>14</v>
      </c>
      <c r="V147" s="105">
        <f t="shared" si="84"/>
        <v>2</v>
      </c>
      <c r="W147" s="106">
        <f t="shared" si="85"/>
        <v>0.833333333333333</v>
      </c>
      <c r="X147" s="107">
        <f t="shared" si="86"/>
        <v>0.166666666666667</v>
      </c>
      <c r="Y147" s="105">
        <f t="shared" si="92"/>
        <v>0.476190476190476</v>
      </c>
      <c r="Z147" s="106">
        <f t="shared" si="93"/>
        <v>17.2761904761905</v>
      </c>
      <c r="AA147" s="106">
        <f t="shared" si="94"/>
        <v>14.0006748568584</v>
      </c>
      <c r="AB147" s="106">
        <v>0</v>
      </c>
      <c r="AC147" s="106">
        <f t="shared" si="95"/>
        <v>1.96018896447468</v>
      </c>
      <c r="AD147" s="107">
        <f t="shared" si="96"/>
        <v>1.96018896447468</v>
      </c>
      <c r="AE147" s="105">
        <f t="shared" si="97"/>
        <v>32.6666666666667</v>
      </c>
      <c r="AF147" s="106">
        <f t="shared" si="98"/>
        <v>14.0006748568584</v>
      </c>
      <c r="AG147" s="106">
        <f t="shared" si="87"/>
        <v>1.66616061980348</v>
      </c>
      <c r="AH147" s="106">
        <f t="shared" si="88"/>
        <v>2.27191442729657</v>
      </c>
      <c r="AI147" s="107">
        <f t="shared" si="99"/>
        <v>3.93807504710004</v>
      </c>
      <c r="AJ147" s="105">
        <f t="shared" si="100"/>
        <v>2.8</v>
      </c>
      <c r="AK147" s="106">
        <f t="shared" si="101"/>
        <v>6.95599963808068</v>
      </c>
      <c r="AL147" s="106">
        <f t="shared" si="102"/>
        <v>0.91</v>
      </c>
      <c r="AM147" s="106">
        <f t="shared" si="89"/>
        <v>0</v>
      </c>
      <c r="AN147" s="107">
        <f t="shared" si="103"/>
        <v>0.91</v>
      </c>
      <c r="AO147" s="105">
        <f t="shared" si="90"/>
        <v>1.96018896447468</v>
      </c>
      <c r="AP147" s="106">
        <f t="shared" si="91"/>
        <v>0.0756</v>
      </c>
      <c r="AQ147" s="107">
        <f t="shared" si="104"/>
        <v>0.0132</v>
      </c>
      <c r="AR147" s="105">
        <f t="shared" si="105"/>
        <v>6.89706401157472</v>
      </c>
      <c r="AS147" s="106">
        <f t="shared" si="106"/>
        <v>56</v>
      </c>
      <c r="AT147" s="107">
        <f t="shared" si="107"/>
        <v>89.0343625414606</v>
      </c>
    </row>
    <row r="148" spans="17:46">
      <c r="Q148">
        <v>141</v>
      </c>
      <c r="R148" s="105">
        <f t="shared" si="80"/>
        <v>20</v>
      </c>
      <c r="S148" s="106">
        <f t="shared" si="81"/>
        <v>2.82</v>
      </c>
      <c r="T148" s="106">
        <f t="shared" si="82"/>
        <v>4</v>
      </c>
      <c r="U148" s="107">
        <f t="shared" si="83"/>
        <v>14.1</v>
      </c>
      <c r="V148" s="105">
        <f t="shared" si="84"/>
        <v>2</v>
      </c>
      <c r="W148" s="106">
        <f t="shared" si="85"/>
        <v>0.833333333333333</v>
      </c>
      <c r="X148" s="107">
        <f t="shared" si="86"/>
        <v>0.166666666666667</v>
      </c>
      <c r="Y148" s="105">
        <f t="shared" si="92"/>
        <v>0.476190476190476</v>
      </c>
      <c r="Z148" s="106">
        <f t="shared" si="93"/>
        <v>17.3961904761905</v>
      </c>
      <c r="AA148" s="106">
        <f t="shared" si="94"/>
        <v>14.1006700708678</v>
      </c>
      <c r="AB148" s="106">
        <v>0</v>
      </c>
      <c r="AC148" s="106">
        <f t="shared" si="95"/>
        <v>1.98828896447468</v>
      </c>
      <c r="AD148" s="107">
        <f t="shared" si="96"/>
        <v>1.98828896447468</v>
      </c>
      <c r="AE148" s="105">
        <f t="shared" si="97"/>
        <v>33.135</v>
      </c>
      <c r="AF148" s="106">
        <f t="shared" si="98"/>
        <v>14.1006700708678</v>
      </c>
      <c r="AG148" s="106">
        <f t="shared" si="87"/>
        <v>1.69004561980348</v>
      </c>
      <c r="AH148" s="106">
        <f t="shared" si="88"/>
        <v>2.28814238749154</v>
      </c>
      <c r="AI148" s="107">
        <f t="shared" si="99"/>
        <v>3.97818800729502</v>
      </c>
      <c r="AJ148" s="105">
        <f t="shared" si="100"/>
        <v>2.82</v>
      </c>
      <c r="AK148" s="106">
        <f t="shared" si="101"/>
        <v>7.00498784970412</v>
      </c>
      <c r="AL148" s="106">
        <f t="shared" si="102"/>
        <v>0.9165</v>
      </c>
      <c r="AM148" s="106">
        <f t="shared" si="89"/>
        <v>0</v>
      </c>
      <c r="AN148" s="107">
        <f t="shared" si="103"/>
        <v>0.9165</v>
      </c>
      <c r="AO148" s="105">
        <f t="shared" si="90"/>
        <v>1.98828896447468</v>
      </c>
      <c r="AP148" s="106">
        <f t="shared" si="91"/>
        <v>0.0756</v>
      </c>
      <c r="AQ148" s="107">
        <f t="shared" si="104"/>
        <v>0.0132</v>
      </c>
      <c r="AR148" s="105">
        <f t="shared" si="105"/>
        <v>6.9717769717697</v>
      </c>
      <c r="AS148" s="106">
        <f t="shared" si="106"/>
        <v>56.4</v>
      </c>
      <c r="AT148" s="107">
        <f t="shared" si="107"/>
        <v>88.9986089945443</v>
      </c>
    </row>
    <row r="149" spans="17:46">
      <c r="Q149">
        <v>142</v>
      </c>
      <c r="R149" s="105">
        <f t="shared" si="80"/>
        <v>20</v>
      </c>
      <c r="S149" s="106">
        <f t="shared" si="81"/>
        <v>2.84</v>
      </c>
      <c r="T149" s="106">
        <f t="shared" si="82"/>
        <v>4</v>
      </c>
      <c r="U149" s="107">
        <f t="shared" si="83"/>
        <v>14.2</v>
      </c>
      <c r="V149" s="105">
        <f t="shared" si="84"/>
        <v>2</v>
      </c>
      <c r="W149" s="106">
        <f t="shared" si="85"/>
        <v>0.833333333333333</v>
      </c>
      <c r="X149" s="107">
        <f t="shared" si="86"/>
        <v>0.166666666666667</v>
      </c>
      <c r="Y149" s="105">
        <f t="shared" si="92"/>
        <v>0.476190476190476</v>
      </c>
      <c r="Z149" s="106">
        <f t="shared" si="93"/>
        <v>17.5161904761905</v>
      </c>
      <c r="AA149" s="106">
        <f t="shared" si="94"/>
        <v>14.2006653522808</v>
      </c>
      <c r="AB149" s="106">
        <v>0</v>
      </c>
      <c r="AC149" s="106">
        <f t="shared" si="95"/>
        <v>2.01658896447468</v>
      </c>
      <c r="AD149" s="107">
        <f t="shared" si="96"/>
        <v>2.01658896447468</v>
      </c>
      <c r="AE149" s="105">
        <f t="shared" si="97"/>
        <v>33.6066666666667</v>
      </c>
      <c r="AF149" s="106">
        <f t="shared" si="98"/>
        <v>14.2006653522808</v>
      </c>
      <c r="AG149" s="106">
        <f t="shared" si="87"/>
        <v>1.71410061980348</v>
      </c>
      <c r="AH149" s="106">
        <f t="shared" si="88"/>
        <v>2.30437034768652</v>
      </c>
      <c r="AI149" s="107">
        <f t="shared" si="99"/>
        <v>4.01847096748999</v>
      </c>
      <c r="AJ149" s="105">
        <f t="shared" si="100"/>
        <v>2.84</v>
      </c>
      <c r="AK149" s="106">
        <f t="shared" si="101"/>
        <v>7.05397608331827</v>
      </c>
      <c r="AL149" s="106">
        <f t="shared" si="102"/>
        <v>0.923</v>
      </c>
      <c r="AM149" s="106">
        <f t="shared" si="89"/>
        <v>0</v>
      </c>
      <c r="AN149" s="107">
        <f t="shared" si="103"/>
        <v>0.923</v>
      </c>
      <c r="AO149" s="105">
        <f t="shared" si="90"/>
        <v>2.01658896447468</v>
      </c>
      <c r="AP149" s="106">
        <f t="shared" si="91"/>
        <v>0.0756</v>
      </c>
      <c r="AQ149" s="107">
        <f t="shared" si="104"/>
        <v>0.0132</v>
      </c>
      <c r="AR149" s="105">
        <f t="shared" si="105"/>
        <v>7.04685993196467</v>
      </c>
      <c r="AS149" s="106">
        <f t="shared" si="106"/>
        <v>56.8</v>
      </c>
      <c r="AT149" s="107">
        <f t="shared" si="107"/>
        <v>88.9628715656904</v>
      </c>
    </row>
    <row r="150" spans="17:46">
      <c r="Q150">
        <v>143</v>
      </c>
      <c r="R150" s="105">
        <f t="shared" si="80"/>
        <v>20</v>
      </c>
      <c r="S150" s="106">
        <f t="shared" si="81"/>
        <v>2.86</v>
      </c>
      <c r="T150" s="106">
        <f t="shared" si="82"/>
        <v>4</v>
      </c>
      <c r="U150" s="107">
        <f t="shared" si="83"/>
        <v>14.3</v>
      </c>
      <c r="V150" s="105">
        <f t="shared" si="84"/>
        <v>2</v>
      </c>
      <c r="W150" s="106">
        <f t="shared" si="85"/>
        <v>0.833333333333333</v>
      </c>
      <c r="X150" s="107">
        <f t="shared" si="86"/>
        <v>0.166666666666667</v>
      </c>
      <c r="Y150" s="105">
        <f t="shared" si="92"/>
        <v>0.476190476190476</v>
      </c>
      <c r="Z150" s="106">
        <f t="shared" si="93"/>
        <v>17.6361904761905</v>
      </c>
      <c r="AA150" s="106">
        <f t="shared" si="94"/>
        <v>14.3006606996834</v>
      </c>
      <c r="AB150" s="106">
        <v>0</v>
      </c>
      <c r="AC150" s="106">
        <f t="shared" si="95"/>
        <v>2.04508896447468</v>
      </c>
      <c r="AD150" s="107">
        <f t="shared" si="96"/>
        <v>2.04508896447468</v>
      </c>
      <c r="AE150" s="105">
        <f t="shared" si="97"/>
        <v>34.0816666666667</v>
      </c>
      <c r="AF150" s="106">
        <f t="shared" si="98"/>
        <v>14.3006606996834</v>
      </c>
      <c r="AG150" s="106">
        <f t="shared" si="87"/>
        <v>1.73832561980348</v>
      </c>
      <c r="AH150" s="106">
        <f t="shared" si="88"/>
        <v>2.32059830788149</v>
      </c>
      <c r="AI150" s="107">
        <f t="shared" si="99"/>
        <v>4.05892392768497</v>
      </c>
      <c r="AJ150" s="105">
        <f t="shared" si="100"/>
        <v>2.86</v>
      </c>
      <c r="AK150" s="106">
        <f t="shared" si="101"/>
        <v>7.10296433846813</v>
      </c>
      <c r="AL150" s="106">
        <f t="shared" si="102"/>
        <v>0.9295</v>
      </c>
      <c r="AM150" s="106">
        <f t="shared" si="89"/>
        <v>0</v>
      </c>
      <c r="AN150" s="107">
        <f t="shared" si="103"/>
        <v>0.9295</v>
      </c>
      <c r="AO150" s="105">
        <f t="shared" si="90"/>
        <v>2.04508896447468</v>
      </c>
      <c r="AP150" s="106">
        <f t="shared" si="91"/>
        <v>0.0756</v>
      </c>
      <c r="AQ150" s="107">
        <f t="shared" si="104"/>
        <v>0.0132</v>
      </c>
      <c r="AR150" s="105">
        <f t="shared" si="105"/>
        <v>7.12231289215965</v>
      </c>
      <c r="AS150" s="106">
        <f t="shared" si="106"/>
        <v>57.2</v>
      </c>
      <c r="AT150" s="107">
        <f t="shared" si="107"/>
        <v>88.9271505144713</v>
      </c>
    </row>
    <row r="151" spans="17:46">
      <c r="Q151">
        <v>144</v>
      </c>
      <c r="R151" s="105">
        <f t="shared" si="80"/>
        <v>20</v>
      </c>
      <c r="S151" s="106">
        <f t="shared" si="81"/>
        <v>2.88</v>
      </c>
      <c r="T151" s="106">
        <f t="shared" si="82"/>
        <v>4</v>
      </c>
      <c r="U151" s="107">
        <f t="shared" si="83"/>
        <v>14.4</v>
      </c>
      <c r="V151" s="105">
        <f t="shared" si="84"/>
        <v>2</v>
      </c>
      <c r="W151" s="106">
        <f t="shared" si="85"/>
        <v>0.833333333333333</v>
      </c>
      <c r="X151" s="107">
        <f t="shared" si="86"/>
        <v>0.166666666666667</v>
      </c>
      <c r="Y151" s="105">
        <f t="shared" si="92"/>
        <v>0.476190476190476</v>
      </c>
      <c r="Z151" s="106">
        <f t="shared" si="93"/>
        <v>17.7561904761905</v>
      </c>
      <c r="AA151" s="106">
        <f t="shared" si="94"/>
        <v>14.4006561117009</v>
      </c>
      <c r="AB151" s="106">
        <v>0</v>
      </c>
      <c r="AC151" s="106">
        <f t="shared" si="95"/>
        <v>2.07378896447468</v>
      </c>
      <c r="AD151" s="107">
        <f t="shared" si="96"/>
        <v>2.07378896447468</v>
      </c>
      <c r="AE151" s="105">
        <f t="shared" si="97"/>
        <v>34.56</v>
      </c>
      <c r="AF151" s="106">
        <f t="shared" si="98"/>
        <v>14.4006561117009</v>
      </c>
      <c r="AG151" s="106">
        <f t="shared" si="87"/>
        <v>1.76272061980348</v>
      </c>
      <c r="AH151" s="106">
        <f t="shared" si="88"/>
        <v>2.33682626807647</v>
      </c>
      <c r="AI151" s="107">
        <f t="shared" si="99"/>
        <v>4.09954688787995</v>
      </c>
      <c r="AJ151" s="105">
        <f t="shared" si="100"/>
        <v>2.88</v>
      </c>
      <c r="AK151" s="106">
        <f t="shared" si="101"/>
        <v>7.15195261471116</v>
      </c>
      <c r="AL151" s="106">
        <f t="shared" si="102"/>
        <v>0.936</v>
      </c>
      <c r="AM151" s="106">
        <f t="shared" si="89"/>
        <v>0</v>
      </c>
      <c r="AN151" s="107">
        <f t="shared" si="103"/>
        <v>0.936</v>
      </c>
      <c r="AO151" s="105">
        <f t="shared" si="90"/>
        <v>2.07378896447468</v>
      </c>
      <c r="AP151" s="106">
        <f t="shared" si="91"/>
        <v>0.0756</v>
      </c>
      <c r="AQ151" s="107">
        <f t="shared" si="104"/>
        <v>0.0132</v>
      </c>
      <c r="AR151" s="105">
        <f t="shared" si="105"/>
        <v>7.19813585235462</v>
      </c>
      <c r="AS151" s="106">
        <f t="shared" si="106"/>
        <v>57.6</v>
      </c>
      <c r="AT151" s="107">
        <f t="shared" si="107"/>
        <v>88.8914460922828</v>
      </c>
    </row>
    <row r="152" spans="17:46">
      <c r="Q152">
        <v>145</v>
      </c>
      <c r="R152" s="105">
        <f t="shared" si="80"/>
        <v>20</v>
      </c>
      <c r="S152" s="106">
        <f t="shared" si="81"/>
        <v>2.9</v>
      </c>
      <c r="T152" s="106">
        <f t="shared" si="82"/>
        <v>4</v>
      </c>
      <c r="U152" s="107">
        <f t="shared" si="83"/>
        <v>14.5</v>
      </c>
      <c r="V152" s="105">
        <f t="shared" si="84"/>
        <v>2</v>
      </c>
      <c r="W152" s="106">
        <f t="shared" si="85"/>
        <v>0.833333333333333</v>
      </c>
      <c r="X152" s="107">
        <f t="shared" si="86"/>
        <v>0.166666666666667</v>
      </c>
      <c r="Y152" s="105">
        <f t="shared" si="92"/>
        <v>0.476190476190476</v>
      </c>
      <c r="Z152" s="106">
        <f t="shared" si="93"/>
        <v>17.8761904761905</v>
      </c>
      <c r="AA152" s="106">
        <f t="shared" si="94"/>
        <v>14.5006515869966</v>
      </c>
      <c r="AB152" s="106">
        <v>0</v>
      </c>
      <c r="AC152" s="106">
        <f t="shared" si="95"/>
        <v>2.10268896447468</v>
      </c>
      <c r="AD152" s="107">
        <f t="shared" si="96"/>
        <v>2.10268896447468</v>
      </c>
      <c r="AE152" s="105">
        <f t="shared" si="97"/>
        <v>35.0416666666667</v>
      </c>
      <c r="AF152" s="106">
        <f t="shared" si="98"/>
        <v>14.5006515869966</v>
      </c>
      <c r="AG152" s="106">
        <f t="shared" si="87"/>
        <v>1.78728561980348</v>
      </c>
      <c r="AH152" s="106">
        <f t="shared" si="88"/>
        <v>2.35305422827144</v>
      </c>
      <c r="AI152" s="107">
        <f t="shared" si="99"/>
        <v>4.14033984807492</v>
      </c>
      <c r="AJ152" s="105">
        <f t="shared" si="100"/>
        <v>2.9</v>
      </c>
      <c r="AK152" s="106">
        <f t="shared" si="101"/>
        <v>7.20094091161687</v>
      </c>
      <c r="AL152" s="106">
        <f t="shared" si="102"/>
        <v>0.9425</v>
      </c>
      <c r="AM152" s="106">
        <f t="shared" si="89"/>
        <v>0</v>
      </c>
      <c r="AN152" s="107">
        <f t="shared" si="103"/>
        <v>0.9425</v>
      </c>
      <c r="AO152" s="105">
        <f t="shared" si="90"/>
        <v>2.10268896447468</v>
      </c>
      <c r="AP152" s="106">
        <f t="shared" si="91"/>
        <v>0.0756</v>
      </c>
      <c r="AQ152" s="107">
        <f t="shared" si="104"/>
        <v>0.0132</v>
      </c>
      <c r="AR152" s="105">
        <f t="shared" si="105"/>
        <v>7.2743288125496</v>
      </c>
      <c r="AS152" s="106">
        <f t="shared" si="106"/>
        <v>58</v>
      </c>
      <c r="AT152" s="107">
        <f t="shared" si="107"/>
        <v>88.8557585426278</v>
      </c>
    </row>
    <row r="153" spans="17:46">
      <c r="Q153">
        <v>146</v>
      </c>
      <c r="R153" s="105">
        <f t="shared" si="80"/>
        <v>20</v>
      </c>
      <c r="S153" s="106">
        <f t="shared" si="81"/>
        <v>2.92</v>
      </c>
      <c r="T153" s="106">
        <f t="shared" si="82"/>
        <v>4</v>
      </c>
      <c r="U153" s="107">
        <f t="shared" si="83"/>
        <v>14.6</v>
      </c>
      <c r="V153" s="105">
        <f t="shared" si="84"/>
        <v>2</v>
      </c>
      <c r="W153" s="106">
        <f t="shared" si="85"/>
        <v>0.833333333333333</v>
      </c>
      <c r="X153" s="107">
        <f t="shared" si="86"/>
        <v>0.166666666666667</v>
      </c>
      <c r="Y153" s="105">
        <f t="shared" si="92"/>
        <v>0.476190476190476</v>
      </c>
      <c r="Z153" s="106">
        <f t="shared" si="93"/>
        <v>17.9961904761905</v>
      </c>
      <c r="AA153" s="106">
        <f t="shared" si="94"/>
        <v>14.6006471242705</v>
      </c>
      <c r="AB153" s="106">
        <v>0</v>
      </c>
      <c r="AC153" s="106">
        <f t="shared" si="95"/>
        <v>2.13178896447468</v>
      </c>
      <c r="AD153" s="107">
        <f t="shared" si="96"/>
        <v>2.13178896447468</v>
      </c>
      <c r="AE153" s="105">
        <f t="shared" si="97"/>
        <v>35.5266666666667</v>
      </c>
      <c r="AF153" s="106">
        <f t="shared" si="98"/>
        <v>14.6006471242705</v>
      </c>
      <c r="AG153" s="106">
        <f t="shared" si="87"/>
        <v>1.81202061980348</v>
      </c>
      <c r="AH153" s="106">
        <f t="shared" si="88"/>
        <v>2.36928218846642</v>
      </c>
      <c r="AI153" s="107">
        <f t="shared" si="99"/>
        <v>4.1813028082699</v>
      </c>
      <c r="AJ153" s="105">
        <f t="shared" si="100"/>
        <v>2.92</v>
      </c>
      <c r="AK153" s="106">
        <f t="shared" si="101"/>
        <v>7.2499292287664</v>
      </c>
      <c r="AL153" s="106">
        <f t="shared" si="102"/>
        <v>0.949</v>
      </c>
      <c r="AM153" s="106">
        <f t="shared" si="89"/>
        <v>0</v>
      </c>
      <c r="AN153" s="107">
        <f t="shared" si="103"/>
        <v>0.949</v>
      </c>
      <c r="AO153" s="105">
        <f t="shared" si="90"/>
        <v>2.13178896447468</v>
      </c>
      <c r="AP153" s="106">
        <f t="shared" si="91"/>
        <v>0.0756</v>
      </c>
      <c r="AQ153" s="107">
        <f t="shared" si="104"/>
        <v>0.0132</v>
      </c>
      <c r="AR153" s="105">
        <f t="shared" si="105"/>
        <v>7.35089177274458</v>
      </c>
      <c r="AS153" s="106">
        <f t="shared" si="106"/>
        <v>58.4</v>
      </c>
      <c r="AT153" s="107">
        <f t="shared" si="107"/>
        <v>88.820088101388</v>
      </c>
    </row>
    <row r="154" spans="17:46">
      <c r="Q154">
        <v>147</v>
      </c>
      <c r="R154" s="105">
        <f t="shared" si="80"/>
        <v>20</v>
      </c>
      <c r="S154" s="106">
        <f t="shared" si="81"/>
        <v>2.94</v>
      </c>
      <c r="T154" s="106">
        <f t="shared" si="82"/>
        <v>4</v>
      </c>
      <c r="U154" s="107">
        <f t="shared" si="83"/>
        <v>14.7</v>
      </c>
      <c r="V154" s="105">
        <f t="shared" si="84"/>
        <v>2</v>
      </c>
      <c r="W154" s="106">
        <f t="shared" si="85"/>
        <v>0.833333333333333</v>
      </c>
      <c r="X154" s="107">
        <f t="shared" si="86"/>
        <v>0.166666666666667</v>
      </c>
      <c r="Y154" s="105">
        <f t="shared" si="92"/>
        <v>0.476190476190476</v>
      </c>
      <c r="Z154" s="106">
        <f t="shared" si="93"/>
        <v>18.1161904761905</v>
      </c>
      <c r="AA154" s="106">
        <f t="shared" si="94"/>
        <v>14.7006427222577</v>
      </c>
      <c r="AB154" s="106">
        <v>0</v>
      </c>
      <c r="AC154" s="106">
        <f t="shared" si="95"/>
        <v>2.16108896447468</v>
      </c>
      <c r="AD154" s="107">
        <f t="shared" si="96"/>
        <v>2.16108896447468</v>
      </c>
      <c r="AE154" s="105">
        <f t="shared" si="97"/>
        <v>36.015</v>
      </c>
      <c r="AF154" s="106">
        <f t="shared" si="98"/>
        <v>14.7006427222577</v>
      </c>
      <c r="AG154" s="106">
        <f t="shared" si="87"/>
        <v>1.83692561980348</v>
      </c>
      <c r="AH154" s="106">
        <f t="shared" si="88"/>
        <v>2.3855101486614</v>
      </c>
      <c r="AI154" s="107">
        <f t="shared" si="99"/>
        <v>4.22243576846487</v>
      </c>
      <c r="AJ154" s="105">
        <f t="shared" si="100"/>
        <v>2.94</v>
      </c>
      <c r="AK154" s="106">
        <f t="shared" si="101"/>
        <v>7.29891756575215</v>
      </c>
      <c r="AL154" s="106">
        <f t="shared" si="102"/>
        <v>0.9555</v>
      </c>
      <c r="AM154" s="106">
        <f t="shared" si="89"/>
        <v>0</v>
      </c>
      <c r="AN154" s="107">
        <f t="shared" si="103"/>
        <v>0.9555</v>
      </c>
      <c r="AO154" s="105">
        <f t="shared" si="90"/>
        <v>2.16108896447468</v>
      </c>
      <c r="AP154" s="106">
        <f t="shared" si="91"/>
        <v>0.0756</v>
      </c>
      <c r="AQ154" s="107">
        <f t="shared" si="104"/>
        <v>0.0132</v>
      </c>
      <c r="AR154" s="105">
        <f t="shared" si="105"/>
        <v>7.42782473293955</v>
      </c>
      <c r="AS154" s="106">
        <f t="shared" si="106"/>
        <v>58.8</v>
      </c>
      <c r="AT154" s="107">
        <f t="shared" si="107"/>
        <v>88.7844349970848</v>
      </c>
    </row>
    <row r="155" spans="17:46">
      <c r="Q155">
        <v>148</v>
      </c>
      <c r="R155" s="105">
        <f t="shared" si="80"/>
        <v>20</v>
      </c>
      <c r="S155" s="106">
        <f t="shared" si="81"/>
        <v>2.96</v>
      </c>
      <c r="T155" s="106">
        <f t="shared" si="82"/>
        <v>4</v>
      </c>
      <c r="U155" s="107">
        <f t="shared" si="83"/>
        <v>14.8</v>
      </c>
      <c r="V155" s="105">
        <f t="shared" si="84"/>
        <v>2</v>
      </c>
      <c r="W155" s="106">
        <f t="shared" si="85"/>
        <v>0.833333333333333</v>
      </c>
      <c r="X155" s="107">
        <f t="shared" si="86"/>
        <v>0.166666666666667</v>
      </c>
      <c r="Y155" s="105">
        <f t="shared" si="92"/>
        <v>0.476190476190476</v>
      </c>
      <c r="Z155" s="106">
        <f t="shared" si="93"/>
        <v>18.2361904761905</v>
      </c>
      <c r="AA155" s="106">
        <f t="shared" si="94"/>
        <v>14.8006383797277</v>
      </c>
      <c r="AB155" s="106">
        <v>0</v>
      </c>
      <c r="AC155" s="106">
        <f t="shared" si="95"/>
        <v>2.19058896447468</v>
      </c>
      <c r="AD155" s="107">
        <f t="shared" si="96"/>
        <v>2.19058896447468</v>
      </c>
      <c r="AE155" s="105">
        <f t="shared" si="97"/>
        <v>36.5066666666667</v>
      </c>
      <c r="AF155" s="106">
        <f t="shared" si="98"/>
        <v>14.8006383797277</v>
      </c>
      <c r="AG155" s="106">
        <f t="shared" si="87"/>
        <v>1.86200061980348</v>
      </c>
      <c r="AH155" s="106">
        <f t="shared" si="88"/>
        <v>2.40173810885637</v>
      </c>
      <c r="AI155" s="107">
        <f t="shared" si="99"/>
        <v>4.26373872865985</v>
      </c>
      <c r="AJ155" s="105">
        <f t="shared" si="100"/>
        <v>2.96</v>
      </c>
      <c r="AK155" s="106">
        <f t="shared" si="101"/>
        <v>7.34790592217735</v>
      </c>
      <c r="AL155" s="106">
        <f t="shared" si="102"/>
        <v>0.962</v>
      </c>
      <c r="AM155" s="106">
        <f t="shared" si="89"/>
        <v>0</v>
      </c>
      <c r="AN155" s="107">
        <f t="shared" si="103"/>
        <v>0.962</v>
      </c>
      <c r="AO155" s="105">
        <f t="shared" si="90"/>
        <v>2.19058896447468</v>
      </c>
      <c r="AP155" s="106">
        <f t="shared" si="91"/>
        <v>0.0756</v>
      </c>
      <c r="AQ155" s="107">
        <f t="shared" si="104"/>
        <v>0.0132</v>
      </c>
      <c r="AR155" s="105">
        <f t="shared" si="105"/>
        <v>7.50512769313453</v>
      </c>
      <c r="AS155" s="106">
        <f t="shared" si="106"/>
        <v>59.2</v>
      </c>
      <c r="AT155" s="107">
        <f t="shared" si="107"/>
        <v>88.7487994511298</v>
      </c>
    </row>
    <row r="156" spans="17:46">
      <c r="Q156">
        <v>149</v>
      </c>
      <c r="R156" s="105">
        <f t="shared" si="80"/>
        <v>20</v>
      </c>
      <c r="S156" s="106">
        <f t="shared" si="81"/>
        <v>2.98</v>
      </c>
      <c r="T156" s="106">
        <f t="shared" si="82"/>
        <v>4</v>
      </c>
      <c r="U156" s="107">
        <f t="shared" si="83"/>
        <v>14.9</v>
      </c>
      <c r="V156" s="105">
        <f t="shared" si="84"/>
        <v>2</v>
      </c>
      <c r="W156" s="106">
        <f t="shared" si="85"/>
        <v>0.833333333333333</v>
      </c>
      <c r="X156" s="107">
        <f t="shared" si="86"/>
        <v>0.166666666666667</v>
      </c>
      <c r="Y156" s="105">
        <f t="shared" si="92"/>
        <v>0.476190476190476</v>
      </c>
      <c r="Z156" s="106">
        <f t="shared" si="93"/>
        <v>18.3561904761905</v>
      </c>
      <c r="AA156" s="106">
        <f t="shared" si="94"/>
        <v>14.9006340954829</v>
      </c>
      <c r="AB156" s="106">
        <v>0</v>
      </c>
      <c r="AC156" s="106">
        <f t="shared" si="95"/>
        <v>2.22028896447468</v>
      </c>
      <c r="AD156" s="107">
        <f t="shared" si="96"/>
        <v>2.22028896447468</v>
      </c>
      <c r="AE156" s="105">
        <f t="shared" si="97"/>
        <v>37.0016666666667</v>
      </c>
      <c r="AF156" s="106">
        <f t="shared" si="98"/>
        <v>14.9006340954829</v>
      </c>
      <c r="AG156" s="106">
        <f t="shared" si="87"/>
        <v>1.88724561980348</v>
      </c>
      <c r="AH156" s="106">
        <f t="shared" si="88"/>
        <v>2.41796606905135</v>
      </c>
      <c r="AI156" s="107">
        <f t="shared" si="99"/>
        <v>4.30521168885482</v>
      </c>
      <c r="AJ156" s="105">
        <f t="shared" si="100"/>
        <v>2.98</v>
      </c>
      <c r="AK156" s="106">
        <f t="shared" si="101"/>
        <v>7.3968942976558</v>
      </c>
      <c r="AL156" s="106">
        <f t="shared" si="102"/>
        <v>0.9685</v>
      </c>
      <c r="AM156" s="106">
        <f t="shared" si="89"/>
        <v>0</v>
      </c>
      <c r="AN156" s="107">
        <f t="shared" si="103"/>
        <v>0.9685</v>
      </c>
      <c r="AO156" s="105">
        <f t="shared" si="90"/>
        <v>2.22028896447468</v>
      </c>
      <c r="AP156" s="106">
        <f t="shared" si="91"/>
        <v>0.0756</v>
      </c>
      <c r="AQ156" s="107">
        <f t="shared" si="104"/>
        <v>0.0132</v>
      </c>
      <c r="AR156" s="105">
        <f t="shared" si="105"/>
        <v>7.5828006533295</v>
      </c>
      <c r="AS156" s="106">
        <f t="shared" si="106"/>
        <v>59.6</v>
      </c>
      <c r="AT156" s="107">
        <f t="shared" si="107"/>
        <v>88.7131816780643</v>
      </c>
    </row>
    <row r="157" ht="15.75" spans="17:46">
      <c r="Q157">
        <v>150</v>
      </c>
      <c r="R157" s="113">
        <f t="shared" si="80"/>
        <v>20</v>
      </c>
      <c r="S157" s="114">
        <f t="shared" si="81"/>
        <v>3</v>
      </c>
      <c r="T157" s="114">
        <f t="shared" si="82"/>
        <v>4</v>
      </c>
      <c r="U157" s="115">
        <f t="shared" si="83"/>
        <v>15</v>
      </c>
      <c r="V157" s="105">
        <f t="shared" si="84"/>
        <v>2</v>
      </c>
      <c r="W157" s="106">
        <f t="shared" si="85"/>
        <v>0.833333333333333</v>
      </c>
      <c r="X157" s="107">
        <f t="shared" si="86"/>
        <v>0.166666666666667</v>
      </c>
      <c r="Y157" s="105">
        <f t="shared" si="92"/>
        <v>0.476190476190476</v>
      </c>
      <c r="Z157" s="106">
        <f t="shared" si="93"/>
        <v>18.4761904761905</v>
      </c>
      <c r="AA157" s="106">
        <f t="shared" si="94"/>
        <v>15.0006298683578</v>
      </c>
      <c r="AB157" s="106">
        <v>0</v>
      </c>
      <c r="AC157" s="106">
        <f t="shared" si="95"/>
        <v>2.25018896447468</v>
      </c>
      <c r="AD157" s="107">
        <f t="shared" si="96"/>
        <v>2.25018896447468</v>
      </c>
      <c r="AE157" s="105">
        <f t="shared" si="97"/>
        <v>37.5</v>
      </c>
      <c r="AF157" s="106">
        <f t="shared" si="98"/>
        <v>15.0006298683578</v>
      </c>
      <c r="AG157" s="106">
        <f t="shared" si="87"/>
        <v>1.91266061980348</v>
      </c>
      <c r="AH157" s="106">
        <f t="shared" si="88"/>
        <v>2.43419402924632</v>
      </c>
      <c r="AI157" s="107">
        <f t="shared" si="99"/>
        <v>4.3468546490498</v>
      </c>
      <c r="AJ157" s="105">
        <f t="shared" si="100"/>
        <v>3</v>
      </c>
      <c r="AK157" s="106">
        <f t="shared" si="101"/>
        <v>7.44588269181141</v>
      </c>
      <c r="AL157" s="106">
        <f t="shared" si="102"/>
        <v>0.975</v>
      </c>
      <c r="AM157" s="106">
        <f t="shared" si="89"/>
        <v>0</v>
      </c>
      <c r="AN157" s="107">
        <f t="shared" si="103"/>
        <v>0.975</v>
      </c>
      <c r="AO157" s="105">
        <f t="shared" si="90"/>
        <v>2.25018896447468</v>
      </c>
      <c r="AP157" s="106">
        <f t="shared" si="91"/>
        <v>0.0756</v>
      </c>
      <c r="AQ157" s="107">
        <f t="shared" si="104"/>
        <v>0.0132</v>
      </c>
      <c r="AR157" s="105">
        <f t="shared" si="105"/>
        <v>7.66084361352448</v>
      </c>
      <c r="AS157" s="106">
        <f t="shared" si="106"/>
        <v>60</v>
      </c>
      <c r="AT157" s="107">
        <f t="shared" si="107"/>
        <v>88.6775818857908</v>
      </c>
    </row>
  </sheetData>
  <mergeCells count="8">
    <mergeCell ref="A1:M1"/>
    <mergeCell ref="Y2:AD2"/>
    <mergeCell ref="R5:U5"/>
    <mergeCell ref="V5:X5"/>
    <mergeCell ref="Y5:AD5"/>
    <mergeCell ref="AE5:AI5"/>
    <mergeCell ref="AJ5:AN5"/>
    <mergeCell ref="AO5:AQ5"/>
  </mergeCells>
  <pageMargins left="0.7" right="0.7" top="0.75" bottom="0.75" header="0.3" footer="0.3"/>
  <pageSetup paperSize="1" orientation="portrait"/>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BP708"/>
  <sheetViews>
    <sheetView zoomScale="85" zoomScaleNormal="85" topLeftCell="A40" workbookViewId="0">
      <selection activeCell="E73" sqref="E73"/>
    </sheetView>
  </sheetViews>
  <sheetFormatPr defaultColWidth="9" defaultRowHeight="15"/>
  <cols>
    <col min="1" max="1" width="18.7142857142857" customWidth="1"/>
    <col min="2" max="2" width="25" customWidth="1"/>
    <col min="8" max="10" width="8.85714285714286"/>
    <col min="15" max="15" width="16.5714285714286" style="18" customWidth="1"/>
    <col min="16" max="16" width="16.5714285714286" customWidth="1"/>
    <col min="29" max="29" width="8.85714285714286"/>
    <col min="32" max="37" width="8.71428571428571"/>
    <col min="38" max="38" width="11.4285714285714" customWidth="1"/>
    <col min="39" max="40" width="8.71428571428571"/>
    <col min="41" max="41" width="13.1428571428571" customWidth="1"/>
    <col min="42" max="44" width="8.71428571428571"/>
    <col min="46" max="46" width="10.1428571428571" customWidth="1"/>
    <col min="47" max="47" width="12" customWidth="1"/>
    <col min="55" max="55" width="8.85714285714286"/>
    <col min="58" max="58" width="8.85714285714286"/>
  </cols>
  <sheetData>
    <row r="1" customFormat="1" ht="27.75" spans="1:68">
      <c r="A1" s="1" t="s">
        <v>90</v>
      </c>
      <c r="B1" s="1"/>
      <c r="C1" s="1"/>
      <c r="D1" s="1"/>
      <c r="E1" s="1"/>
      <c r="F1" s="1"/>
      <c r="G1" s="1"/>
      <c r="H1" s="1"/>
      <c r="I1" s="1"/>
      <c r="J1" s="1"/>
      <c r="K1" s="1"/>
      <c r="L1" s="1"/>
      <c r="M1" s="1"/>
      <c r="N1" s="1" t="s">
        <v>434</v>
      </c>
      <c r="O1" s="1"/>
      <c r="P1" s="1"/>
      <c r="Q1" s="1"/>
      <c r="R1" s="1"/>
      <c r="S1" s="1"/>
      <c r="T1" s="1"/>
      <c r="U1" s="1"/>
      <c r="V1" s="1"/>
      <c r="W1" s="1"/>
      <c r="X1" s="1"/>
    </row>
    <row r="2" customFormat="1" spans="1:68">
      <c r="A2" s="2"/>
      <c r="B2" s="2" t="s">
        <v>91</v>
      </c>
      <c r="C2" s="3"/>
      <c r="D2" s="4"/>
      <c r="E2" s="2"/>
      <c r="F2" s="2"/>
      <c r="G2" s="2"/>
      <c r="H2" s="2"/>
      <c r="I2" s="2"/>
      <c r="J2" s="2"/>
      <c r="K2" s="2"/>
      <c r="L2" s="2"/>
      <c r="M2" s="2"/>
      <c r="AF2" s="19" t="s">
        <v>435</v>
      </c>
      <c r="AG2" s="19"/>
      <c r="AH2" s="19"/>
      <c r="AI2" s="19"/>
      <c r="AJ2" s="19"/>
      <c r="AK2" s="19"/>
      <c r="AL2" s="19"/>
      <c r="AM2" s="19"/>
      <c r="AN2" s="19"/>
      <c r="AO2" s="19"/>
      <c r="AP2" s="19"/>
      <c r="AQ2" s="19"/>
      <c r="AR2" s="19"/>
    </row>
    <row r="3" customFormat="1" ht="15.75" spans="1:68">
      <c r="A3" s="2"/>
      <c r="B3" s="2" t="s">
        <v>92</v>
      </c>
      <c r="C3" s="5"/>
      <c r="D3" s="4"/>
      <c r="E3" s="2"/>
      <c r="F3" s="20"/>
      <c r="G3" s="21"/>
      <c r="H3" s="21"/>
      <c r="I3" s="21"/>
      <c r="J3" s="21"/>
      <c r="K3" s="22"/>
      <c r="L3" s="2"/>
      <c r="M3" s="2"/>
      <c r="O3" t="s">
        <v>436</v>
      </c>
    </row>
    <row r="4" customFormat="1" ht="15.75" spans="1:68">
      <c r="A4" s="2"/>
      <c r="B4" s="2" t="s">
        <v>96</v>
      </c>
      <c r="C4" s="6"/>
      <c r="D4" s="4"/>
      <c r="E4" s="2"/>
      <c r="F4" s="20"/>
      <c r="G4" s="21"/>
      <c r="H4" s="21"/>
      <c r="I4" s="21"/>
      <c r="J4" s="21"/>
      <c r="K4" s="22"/>
      <c r="L4" s="2"/>
      <c r="M4" s="2"/>
      <c r="N4" s="23"/>
      <c r="O4" s="24"/>
      <c r="P4" s="25" t="s">
        <v>437</v>
      </c>
      <c r="Q4" s="25"/>
      <c r="R4" s="25"/>
      <c r="S4" s="25"/>
      <c r="T4" s="25"/>
      <c r="U4" s="25"/>
      <c r="V4" s="25"/>
      <c r="W4" s="25"/>
      <c r="X4" s="25"/>
      <c r="Y4" s="25"/>
      <c r="Z4" s="25"/>
      <c r="AA4" s="25"/>
      <c r="AB4" s="25"/>
      <c r="AC4" s="25"/>
      <c r="AD4" s="25"/>
      <c r="AE4" s="26"/>
      <c r="AF4" s="25"/>
      <c r="AG4" s="25"/>
      <c r="AH4" s="25"/>
      <c r="AI4" s="25"/>
      <c r="AJ4" s="25"/>
      <c r="AK4" s="25"/>
      <c r="AL4" s="25"/>
      <c r="AM4" s="25"/>
      <c r="AN4" s="25"/>
      <c r="AO4" s="25"/>
      <c r="AP4" s="25"/>
      <c r="AQ4" s="25"/>
      <c r="AR4" s="25"/>
      <c r="AS4" s="27" t="s">
        <v>438</v>
      </c>
      <c r="AT4" s="25"/>
      <c r="AU4" s="25"/>
      <c r="AV4" s="25"/>
      <c r="AW4" s="25"/>
      <c r="AX4" s="25"/>
      <c r="AY4" s="25"/>
      <c r="AZ4" s="25"/>
      <c r="BA4" s="25"/>
      <c r="BB4" s="25"/>
      <c r="BC4" s="25"/>
      <c r="BD4" s="25"/>
      <c r="BE4" s="26"/>
      <c r="BF4" s="27" t="s">
        <v>439</v>
      </c>
      <c r="BG4" s="25"/>
      <c r="BH4" s="26"/>
      <c r="BI4" s="27" t="s">
        <v>440</v>
      </c>
      <c r="BJ4" s="25"/>
      <c r="BK4" s="26"/>
      <c r="BL4" s="28" t="s">
        <v>441</v>
      </c>
      <c r="BM4" s="29"/>
    </row>
    <row r="5" customFormat="1" spans="1:68">
      <c r="A5" s="2"/>
      <c r="D5" s="4"/>
      <c r="E5" s="2"/>
      <c r="F5" s="2"/>
      <c r="G5" s="2"/>
      <c r="H5" s="2"/>
      <c r="I5" s="2"/>
      <c r="J5" s="2"/>
      <c r="K5" s="2"/>
      <c r="L5" s="2"/>
      <c r="M5" s="2"/>
      <c r="N5" s="30"/>
      <c r="O5" s="31"/>
      <c r="P5" s="32"/>
      <c r="Q5" s="33" t="s">
        <v>442</v>
      </c>
      <c r="R5" s="33"/>
      <c r="S5" s="33"/>
      <c r="T5" s="34" t="s">
        <v>443</v>
      </c>
      <c r="U5" s="34"/>
      <c r="V5" s="34"/>
      <c r="W5" s="34" t="s">
        <v>443</v>
      </c>
      <c r="X5" s="34"/>
      <c r="Y5" s="34"/>
      <c r="Z5" s="34" t="s">
        <v>444</v>
      </c>
      <c r="AA5" s="34"/>
      <c r="AB5" s="34"/>
      <c r="AC5" s="35" t="s">
        <v>445</v>
      </c>
      <c r="AD5" s="34"/>
      <c r="AE5" s="36"/>
      <c r="AF5" s="34"/>
      <c r="AG5" s="33" t="s">
        <v>442</v>
      </c>
      <c r="AH5" s="33"/>
      <c r="AI5" s="33"/>
      <c r="AJ5" s="37" t="s">
        <v>443</v>
      </c>
      <c r="AK5" s="37"/>
      <c r="AL5" s="37"/>
      <c r="AM5" s="34" t="s">
        <v>446</v>
      </c>
      <c r="AN5" s="34"/>
      <c r="AO5" s="34"/>
      <c r="AP5" s="38" t="s">
        <v>445</v>
      </c>
      <c r="AQ5" s="37"/>
      <c r="AR5" s="39"/>
      <c r="AS5" s="32"/>
      <c r="AT5" s="34" t="s">
        <v>447</v>
      </c>
      <c r="AU5" s="34"/>
      <c r="AV5" s="34"/>
      <c r="AW5" s="34" t="s">
        <v>448</v>
      </c>
      <c r="AX5" s="34"/>
      <c r="AY5" s="34"/>
      <c r="AZ5" s="34" t="s">
        <v>449</v>
      </c>
      <c r="BA5" s="34"/>
      <c r="BB5" s="34"/>
      <c r="BC5" s="35" t="s">
        <v>445</v>
      </c>
      <c r="BD5" s="34"/>
      <c r="BE5" s="36"/>
      <c r="BF5" s="35" t="s">
        <v>445</v>
      </c>
      <c r="BG5" s="34"/>
      <c r="BH5" s="36"/>
      <c r="BI5" s="35" t="s">
        <v>445</v>
      </c>
      <c r="BJ5" s="34"/>
      <c r="BK5" s="36"/>
      <c r="BL5" s="35" t="s">
        <v>445</v>
      </c>
      <c r="BM5" s="40"/>
    </row>
    <row r="6" customFormat="1" ht="15.75" spans="1:68">
      <c r="A6" s="7" t="s">
        <v>97</v>
      </c>
      <c r="B6" s="7" t="s">
        <v>98</v>
      </c>
      <c r="C6" s="7" t="s">
        <v>99</v>
      </c>
      <c r="D6" s="4"/>
      <c r="E6" s="8" t="s">
        <v>100</v>
      </c>
      <c r="F6" s="8"/>
      <c r="G6" s="8"/>
      <c r="H6" s="8"/>
      <c r="I6" s="8"/>
      <c r="J6" s="8"/>
      <c r="K6" s="8"/>
      <c r="L6" s="8"/>
      <c r="M6" s="41"/>
      <c r="N6" s="30"/>
      <c r="O6" s="31"/>
      <c r="P6" s="42" t="s">
        <v>450</v>
      </c>
      <c r="Q6" s="32" t="s">
        <v>451</v>
      </c>
      <c r="R6" s="42" t="s">
        <v>452</v>
      </c>
      <c r="S6" s="42" t="s">
        <v>453</v>
      </c>
      <c r="T6" s="42" t="s">
        <v>451</v>
      </c>
      <c r="U6" s="42" t="s">
        <v>452</v>
      </c>
      <c r="V6" s="42" t="s">
        <v>453</v>
      </c>
      <c r="W6" s="43" t="s">
        <v>451</v>
      </c>
      <c r="X6" s="42" t="s">
        <v>452</v>
      </c>
      <c r="Y6" s="42" t="s">
        <v>453</v>
      </c>
      <c r="Z6" s="43" t="s">
        <v>451</v>
      </c>
      <c r="AA6" s="43" t="s">
        <v>452</v>
      </c>
      <c r="AB6" s="43" t="s">
        <v>453</v>
      </c>
      <c r="AC6" s="44" t="s">
        <v>454</v>
      </c>
      <c r="AD6" s="43" t="s">
        <v>452</v>
      </c>
      <c r="AE6" s="45" t="s">
        <v>453</v>
      </c>
      <c r="AF6" s="46" t="s">
        <v>450</v>
      </c>
      <c r="AG6" s="47" t="s">
        <v>451</v>
      </c>
      <c r="AH6" s="47" t="s">
        <v>455</v>
      </c>
      <c r="AI6" s="47" t="s">
        <v>453</v>
      </c>
      <c r="AJ6" s="47" t="s">
        <v>451</v>
      </c>
      <c r="AK6" s="47" t="s">
        <v>455</v>
      </c>
      <c r="AL6" s="47" t="s">
        <v>453</v>
      </c>
      <c r="AM6" s="47" t="s">
        <v>451</v>
      </c>
      <c r="AN6" s="47" t="s">
        <v>455</v>
      </c>
      <c r="AO6" s="47" t="s">
        <v>453</v>
      </c>
      <c r="AP6" s="48" t="s">
        <v>454</v>
      </c>
      <c r="AQ6" s="49" t="s">
        <v>452</v>
      </c>
      <c r="AR6" s="50" t="s">
        <v>453</v>
      </c>
      <c r="AS6" s="42" t="s">
        <v>456</v>
      </c>
      <c r="AT6" s="43" t="s">
        <v>451</v>
      </c>
      <c r="AU6" s="43" t="s">
        <v>455</v>
      </c>
      <c r="AV6" s="43" t="s">
        <v>453</v>
      </c>
      <c r="AW6" s="43" t="s">
        <v>451</v>
      </c>
      <c r="AX6" s="43" t="s">
        <v>455</v>
      </c>
      <c r="AY6" s="43" t="s">
        <v>453</v>
      </c>
      <c r="AZ6" s="43" t="s">
        <v>451</v>
      </c>
      <c r="BA6" s="43" t="s">
        <v>455</v>
      </c>
      <c r="BB6" s="43" t="s">
        <v>453</v>
      </c>
      <c r="BC6" s="44" t="s">
        <v>454</v>
      </c>
      <c r="BD6" s="43" t="s">
        <v>452</v>
      </c>
      <c r="BE6" s="45" t="s">
        <v>453</v>
      </c>
      <c r="BF6" s="44" t="s">
        <v>454</v>
      </c>
      <c r="BG6" s="43" t="s">
        <v>452</v>
      </c>
      <c r="BH6" s="45" t="s">
        <v>453</v>
      </c>
      <c r="BI6" s="44" t="s">
        <v>454</v>
      </c>
      <c r="BJ6" s="43" t="s">
        <v>452</v>
      </c>
      <c r="BK6" s="45" t="s">
        <v>453</v>
      </c>
      <c r="BL6" s="43" t="s">
        <v>452</v>
      </c>
      <c r="BM6" s="43" t="s">
        <v>453</v>
      </c>
    </row>
    <row r="7" customFormat="1" ht="15.75" spans="1:68">
      <c r="A7" s="7"/>
      <c r="B7" s="7"/>
      <c r="C7" s="7"/>
      <c r="D7" s="4"/>
      <c r="E7" s="8"/>
      <c r="F7" s="8"/>
      <c r="G7" s="8"/>
      <c r="H7" s="8"/>
      <c r="I7" s="8"/>
      <c r="J7" s="8"/>
      <c r="K7" s="8"/>
      <c r="L7" s="8"/>
      <c r="M7" s="41"/>
      <c r="N7" t="s">
        <v>457</v>
      </c>
      <c r="O7" s="24">
        <f>fcross</f>
        <v>700</v>
      </c>
      <c r="P7" s="51" t="str">
        <f>COMPLEX(ADC_VINmin,0)</f>
        <v>41,8604651162791</v>
      </c>
      <c r="Q7" s="52" t="str">
        <f>IMSUM(COMPLEX(1,0),IMDIV(COMPLEX(0,2*PI()*O7),COMPLEX(wp_lf_VINmin,0)))</f>
        <v>1+8,78282150845444i</v>
      </c>
      <c r="R7" s="52">
        <f t="shared" ref="R7:R13" si="0">IMABS(Q7)</f>
        <v>8.8395675035247</v>
      </c>
      <c r="S7" s="52">
        <f t="shared" ref="S7:S13" si="1">IMARGUMENT(Q7)</f>
        <v>1.45742592065267</v>
      </c>
      <c r="T7" s="52" t="str">
        <f>IMSUM(COMPLEX(1,0),IMDIV(COMPLEX(0,2*PI()*O7),COMPLEX(wz_esr_VINmin,0)))</f>
        <v>1+0,0689642419316032i</v>
      </c>
      <c r="U7" s="52">
        <f t="shared" ref="U7:U13" si="2">IMABS(T7)</f>
        <v>1.00237521251535</v>
      </c>
      <c r="V7" s="52">
        <f t="shared" ref="V7:V13" si="3">IMARGUMENT(T7)</f>
        <v>0.0688552200281267</v>
      </c>
      <c r="W7" s="53" t="str">
        <f>IMSUB(COMPLEX(1,0),IMDIV(COMPLEX(0,2*PI()*O7),COMPLEX(wz_RHP_VINmin,0)))</f>
        <v>1-0,337197611485304i</v>
      </c>
      <c r="X7" s="52">
        <f t="shared" ref="X7:X13" si="4">IMABS(W7)</f>
        <v>1.05532091289399</v>
      </c>
      <c r="Y7" s="52">
        <f t="shared" ref="Y7:Y13" si="5">IMARGUMENT(W7)</f>
        <v>-0.325224363614406</v>
      </c>
      <c r="Z7" s="53" t="str">
        <f>IMSUM(COMPLEX(1,0),IMDIV(COMPLEX(0,2*PI()*O7),COMPLEX(Q_VINmin*(wsl_VINmin/2),0)),IMDIV(IMPOWER(COMPLEX(0,2*PI()*O7),2),IMPOWER(COMPLEX(wsl_VINmin/2,0),2)))</f>
        <v>0,999996+0,0141235078426602i</v>
      </c>
      <c r="AA7" s="52">
        <f t="shared" ref="AA7:AA13" si="6">IMABS(Z7)</f>
        <v>1.00009573216257</v>
      </c>
      <c r="AB7" s="52">
        <f t="shared" ref="AB7:AB13" si="7">IMARGUMENT(Z7)</f>
        <v>0.0141226253496381</v>
      </c>
      <c r="AC7" s="54" t="str">
        <f t="shared" ref="AC7:AC13" si="8">(IMDIV(IMPRODUCT(P7,T7,W7),IMPRODUCT(Q7,Z7)))</f>
        <v>-0,783778187573647-4,94724454361809i</v>
      </c>
      <c r="AD7" s="55">
        <f t="shared" ref="AD7:AD13" si="9">20*LOG(IMABS(AC7))</f>
        <v>13.9949264387151</v>
      </c>
      <c r="AE7" s="24">
        <f t="shared" ref="AE7:AE13" si="10">(180/PI())*IMARGUMENT(AC7)</f>
        <v>-99.0023909594224</v>
      </c>
      <c r="AF7" s="32" t="str">
        <f>COMPLEX($B$68,0)</f>
        <v>432,040091031901</v>
      </c>
      <c r="AG7" s="32" t="str">
        <f t="shared" ref="AG7:AG13" si="11">IMSUM(COMPLEX(1,0),IMDIV(COMPLEX(0,2*PI()*O7),COMPLEX(wp_lf_DCM,0)))</f>
        <v>1+7,29780337900562i</v>
      </c>
      <c r="AH7" s="32">
        <f>IMABS(AG7)</f>
        <v>7.36599851741947</v>
      </c>
      <c r="AI7" s="32">
        <f>IMARGUMENT(AG7)</f>
        <v>1.43461689311088</v>
      </c>
      <c r="AJ7" s="32" t="str">
        <f t="shared" ref="AJ7:AJ13" si="12">IMSUM(COMPLEX(1,0),IMDIV(COMPLEX(0,2*PI()*O7),COMPLEX(wz1_dcm,0)))</f>
        <v>1+0,0689642419316032i</v>
      </c>
      <c r="AK7" s="32">
        <f>IMABS(AJ7)</f>
        <v>1.00237521251535</v>
      </c>
      <c r="AL7" s="32">
        <f>IMARGUMENT(AJ7)</f>
        <v>0.0688552200281267</v>
      </c>
      <c r="AM7" s="32" t="str">
        <f t="shared" ref="AM7:AM13" si="13">IMSUB(COMPLEX(1,0),IMDIV(COMPLEX(0,2*PI()*O7),COMPLEX(wz2_dcm,0)))</f>
        <v>1-0,0203598473679385i</v>
      </c>
      <c r="AN7" s="32">
        <f>IMABS(AM7)</f>
        <v>1.00020724021817</v>
      </c>
      <c r="AO7" s="32">
        <f>IMARGUMENT(AM7)</f>
        <v>-0.0203570348564678</v>
      </c>
      <c r="AP7" s="30" t="str">
        <f>(IMDIV(IMPRODUCT(AF7,AJ7,AM7),IMPRODUCT(AG7)))</f>
        <v>10,7983034142725-57,8048480923693i</v>
      </c>
      <c r="AQ7" s="32">
        <f>20*LOG(IMABS(AP7))</f>
        <v>35.3882546864699</v>
      </c>
      <c r="AR7" s="31">
        <f>(180/PI())*IMARGUMENT(AP7)</f>
        <v>-79.4187518690438</v>
      </c>
      <c r="AS7" s="53" t="str">
        <f t="shared" ref="AS7:AS13" si="14">COMPLEX(Adc_ea,0)</f>
        <v>-0,000201496259351621</v>
      </c>
      <c r="AT7" s="53" t="str">
        <f t="shared" ref="AT7:AT13" si="15">COMPLEX(0,2*PI()*O7*wp0_ea)</f>
        <v>0,000988282216966277i</v>
      </c>
      <c r="AU7" s="53">
        <f t="shared" ref="AU7:AU13" si="16">IMABS(AT7)</f>
        <v>0.000988282216966277</v>
      </c>
      <c r="AV7" s="53">
        <f t="shared" ref="AV7:AV13" si="17">IMARGUMENT(AT7)</f>
        <v>1.5707963267949</v>
      </c>
      <c r="AW7" s="53" t="str">
        <f t="shared" ref="AW7:AW13" si="18">IMSUM(COMPLEX(1,0),IMDIV(COMPLEX(0,2*PI()*O7),COMPLEX(wp1_ea,0)))</f>
        <v>1+0,0505982368194992i</v>
      </c>
      <c r="AX7" s="53">
        <f t="shared" ref="AX7:AX13" si="19">IMABS(AW7)</f>
        <v>1.00127927251554</v>
      </c>
      <c r="AY7" s="53">
        <f t="shared" ref="AY7:AY13" si="20">IMARGUMENT(AW7)</f>
        <v>0.0505551228035251</v>
      </c>
      <c r="AZ7" s="53" t="str">
        <f t="shared" ref="AZ7:AZ13" si="21">IMSUM(COMPLEX(1,0),IMDIV(COMPLEX(0,2*PI()*O7),COMPLEX(wz_ea,0)))</f>
        <v>1+2,41902634326414i</v>
      </c>
      <c r="BA7" s="53">
        <f t="shared" ref="BA7:BA13" si="22">IMABS(AZ7)</f>
        <v>2.61757300746433</v>
      </c>
      <c r="BB7" s="53">
        <f t="shared" ref="BB7:BB13" si="23">IMARGUMENT(AZ7)</f>
        <v>1.17880086316425</v>
      </c>
      <c r="BC7" s="23" t="str">
        <f t="shared" ref="BC7:BC13" si="24">IMPRODUCT(AS7,IMDIV(AZ7,IMPRODUCT(AT7,AW7)))</f>
        <v>-0,481654654836446+0,228256219861974i</v>
      </c>
      <c r="BD7" s="53">
        <f t="shared" ref="BD7:BD13" si="25">20*LOG(IMABS(BC7))</f>
        <v>-5.46540830030474</v>
      </c>
      <c r="BE7" s="24">
        <f t="shared" ref="BE7:BE13" si="26">(180/PI())*IMARGUMENT(BC7)</f>
        <v>154.643719176283</v>
      </c>
      <c r="BF7" s="23" t="str">
        <f t="shared" ref="BF7:BF13" si="27">IMPRODUCT(AC7,BC7)</f>
        <v>1,50674975066316+2,20396111674203i</v>
      </c>
      <c r="BG7" s="55">
        <f t="shared" ref="BG7:BG13" si="28">20*LOG(IMABS(BF7))</f>
        <v>8.52951813841036</v>
      </c>
      <c r="BH7" s="24">
        <f t="shared" ref="BH7:BH13" si="29">(180/PI())*IMARGUMENT(BF7)</f>
        <v>55.6413282168604</v>
      </c>
      <c r="BI7" s="23" t="str">
        <f>IMPRODUCT(AP7,BC7)</f>
        <v>7,99326301143922+30,3067540740678i</v>
      </c>
      <c r="BJ7" s="55">
        <f t="shared" ref="BJ7:BJ13" si="30">20*LOG(IMABS(BI7))</f>
        <v>29.9228463861651</v>
      </c>
      <c r="BK7" s="24">
        <f t="shared" ref="BK7:BK13" si="31">(180/PI())*IMARGUMENT(BI7)</f>
        <v>75.2249673072389</v>
      </c>
      <c r="BL7">
        <f>IF($B$31=0,BJ7,BG7)</f>
        <v>8.52951813841036</v>
      </c>
      <c r="BM7">
        <f>IF($B$31=0,BK7,BH7)</f>
        <v>55.6413282168604</v>
      </c>
    </row>
    <row r="8" customFormat="1" ht="15.75" spans="1:68">
      <c r="A8" s="7"/>
      <c r="B8" s="7"/>
      <c r="C8" s="7"/>
      <c r="D8" s="4"/>
      <c r="E8" s="8"/>
      <c r="F8" s="8"/>
      <c r="G8" s="8"/>
      <c r="H8" s="8"/>
      <c r="I8" s="8"/>
      <c r="J8" s="8"/>
      <c r="K8" s="8"/>
      <c r="L8" s="8"/>
      <c r="M8" s="41"/>
      <c r="N8" s="23" t="s">
        <v>458</v>
      </c>
      <c r="O8" s="24">
        <f>fcross</f>
        <v>700</v>
      </c>
      <c r="P8" s="51" t="str">
        <f t="shared" ref="P8:P13" si="32">COMPLEX(Adc,0)</f>
        <v>54,5454545454545</v>
      </c>
      <c r="Q8" s="52" t="str">
        <f t="shared" ref="Q8:Q13" si="33">IMSUM(COMPLEX(1,0),IMDIV(COMPLEX(0,2*PI()*O8),COMPLEX(wp_lf,0)))</f>
        <v>1+8,95639505605235i</v>
      </c>
      <c r="R8" s="52">
        <f t="shared" si="0"/>
        <v>9.01204818007976</v>
      </c>
      <c r="S8" s="52">
        <f t="shared" si="1"/>
        <v>1.45960478083296</v>
      </c>
      <c r="T8" s="52" t="str">
        <f t="shared" ref="T8:T13" si="34">IMSUM(COMPLEX(1,0),IMDIV(COMPLEX(0,2*PI()*O8),COMPLEX(wz_esr,0)))</f>
        <v>1+0,0689642419316032i</v>
      </c>
      <c r="U8" s="52">
        <f t="shared" si="2"/>
        <v>1.00237521251535</v>
      </c>
      <c r="V8" s="52">
        <f t="shared" si="3"/>
        <v>0.0688552200281267</v>
      </c>
      <c r="W8" s="53" t="str">
        <f t="shared" ref="W8:W13" si="35">IMSUB(COMPLEX(1,0),IMDIV(COMPLEX(0,2*PI()*O8),COMPLEX(wz_rhp,0)))</f>
        <v>1-0,197920337176157i</v>
      </c>
      <c r="X8" s="52">
        <f t="shared" si="4"/>
        <v>1.01939808704349</v>
      </c>
      <c r="Y8" s="52">
        <f t="shared" si="5"/>
        <v>-0.195395086665661</v>
      </c>
      <c r="Z8" s="53" t="str">
        <f t="shared" ref="Z8:Z13" si="36">IMSUM(COMPLEX(1,0),IMDIV(COMPLEX(0,2*PI()*O8),COMPLEX(Q*(wsl/2),0)),IMDIV(IMPOWER(COMPLEX(0,2*PI()*O8),2),IMPOWER(COMPLEX(wsl/2,0),2)))</f>
        <v>0,999996+0,0136659280431156i</v>
      </c>
      <c r="AA8" s="52">
        <f t="shared" si="6"/>
        <v>1.00008937480871</v>
      </c>
      <c r="AB8" s="52">
        <f t="shared" si="7"/>
        <v>0.0136651320535636</v>
      </c>
      <c r="AC8" s="54" t="str">
        <f t="shared" si="8"/>
        <v>-0,179394392168433-6,18141019343037i</v>
      </c>
      <c r="AD8" s="55">
        <f t="shared" si="9"/>
        <v>15.8254075986527</v>
      </c>
      <c r="AE8" s="24">
        <f t="shared" si="10"/>
        <v>-91.662348390483</v>
      </c>
      <c r="AF8" s="32" t="str">
        <f t="shared" ref="AF8:AF13" si="37">COMPLEX($B$68,0)</f>
        <v>432,040091031901</v>
      </c>
      <c r="AG8" s="32" t="str">
        <f t="shared" si="11"/>
        <v>1+7,29780337900562i</v>
      </c>
      <c r="AH8" s="32">
        <f t="shared" ref="AH8:AH13" si="38">IMABS(AG8)</f>
        <v>7.36599851741947</v>
      </c>
      <c r="AI8" s="32">
        <f t="shared" ref="AI8:AI13" si="39">IMARGUMENT(AG8)</f>
        <v>1.43461689311088</v>
      </c>
      <c r="AJ8" s="32" t="str">
        <f t="shared" si="12"/>
        <v>1+0,0689642419316032i</v>
      </c>
      <c r="AK8" s="32">
        <f t="shared" ref="AK8:AK13" si="40">IMABS(AJ8)</f>
        <v>1.00237521251535</v>
      </c>
      <c r="AL8" s="32">
        <f t="shared" ref="AL8:AL13" si="41">IMARGUMENT(AJ8)</f>
        <v>0.0688552200281267</v>
      </c>
      <c r="AM8" s="32" t="str">
        <f t="shared" si="13"/>
        <v>1-0,0203598473679385i</v>
      </c>
      <c r="AN8" s="32">
        <f t="shared" ref="AN8:AN13" si="42">IMABS(AM8)</f>
        <v>1.00020724021817</v>
      </c>
      <c r="AO8" s="32">
        <f t="shared" ref="AO8:AO13" si="43">IMARGUMENT(AM8)</f>
        <v>-0.0203570348564678</v>
      </c>
      <c r="AP8" s="30" t="str">
        <f t="shared" ref="AP8:AP13" si="44">(IMDIV(IMPRODUCT(AF8,AJ8,AM8),IMPRODUCT(AG8)))</f>
        <v>10,7983034142725-57,8048480923693i</v>
      </c>
      <c r="AQ8" s="32">
        <f t="shared" ref="AQ8:AQ13" si="45">20*LOG(IMABS(AP8))</f>
        <v>35.3882546864699</v>
      </c>
      <c r="AR8" s="31">
        <f t="shared" ref="AR8:AR13" si="46">(180/PI())*IMARGUMENT(AP8)</f>
        <v>-79.4187518690438</v>
      </c>
      <c r="AS8" s="53" t="str">
        <f t="shared" si="14"/>
        <v>-0,000201496259351621</v>
      </c>
      <c r="AT8" s="53" t="str">
        <f t="shared" si="15"/>
        <v>0,000988282216966277i</v>
      </c>
      <c r="AU8" s="53">
        <f t="shared" si="16"/>
        <v>0.000988282216966277</v>
      </c>
      <c r="AV8" s="53">
        <f t="shared" si="17"/>
        <v>1.5707963267949</v>
      </c>
      <c r="AW8" s="53" t="str">
        <f t="shared" si="18"/>
        <v>1+0,0505982368194992i</v>
      </c>
      <c r="AX8" s="53">
        <f t="shared" si="19"/>
        <v>1.00127927251554</v>
      </c>
      <c r="AY8" s="53">
        <f t="shared" si="20"/>
        <v>0.0505551228035251</v>
      </c>
      <c r="AZ8" s="53" t="str">
        <f t="shared" si="21"/>
        <v>1+2,41902634326414i</v>
      </c>
      <c r="BA8" s="53">
        <f t="shared" si="22"/>
        <v>2.61757300746433</v>
      </c>
      <c r="BB8" s="53">
        <f t="shared" si="23"/>
        <v>1.17880086316425</v>
      </c>
      <c r="BC8" s="23" t="str">
        <f t="shared" si="24"/>
        <v>-0,481654654836446+0,228256219861974i</v>
      </c>
      <c r="BD8" s="53">
        <f t="shared" si="25"/>
        <v>-5.46540830030474</v>
      </c>
      <c r="BE8" s="24">
        <f t="shared" si="26"/>
        <v>154.643719176283</v>
      </c>
      <c r="BF8" s="23" t="str">
        <f t="shared" si="27"/>
        <v>1,49735146820817+2,93635710729839i</v>
      </c>
      <c r="BG8" s="55">
        <f t="shared" si="28"/>
        <v>10.359999298348</v>
      </c>
      <c r="BH8" s="24">
        <f t="shared" si="29"/>
        <v>62.9813707857998</v>
      </c>
      <c r="BI8" s="23" t="str">
        <f t="shared" ref="BI8:BI13" si="47">IMPRODUCT(AP8,BC8)</f>
        <v>7,99326301143922+30,3067540740678i</v>
      </c>
      <c r="BJ8" s="55">
        <f t="shared" si="30"/>
        <v>29.9228463861651</v>
      </c>
      <c r="BK8" s="24">
        <f t="shared" si="31"/>
        <v>75.2249673072389</v>
      </c>
      <c r="BL8">
        <f t="shared" ref="BL8:BL13" si="48">IF($B$31=0,BJ8,BG8)</f>
        <v>10.359999298348</v>
      </c>
      <c r="BM8">
        <f t="shared" ref="BM8:BM13" si="49">IF($B$31=0,BK8,BH8)</f>
        <v>62.9813707857998</v>
      </c>
    </row>
    <row r="9" customFormat="1" ht="15.75" spans="1:68">
      <c r="A9" s="56" t="s">
        <v>459</v>
      </c>
      <c r="B9" s="7"/>
      <c r="C9" s="7"/>
      <c r="D9" s="4"/>
      <c r="E9" s="8"/>
      <c r="F9" s="8"/>
      <c r="G9" s="8"/>
      <c r="H9" s="8"/>
      <c r="I9" s="8"/>
      <c r="J9" s="8"/>
      <c r="K9" s="8"/>
      <c r="L9" s="8"/>
      <c r="M9" s="41"/>
      <c r="N9" s="57" t="s">
        <v>446</v>
      </c>
      <c r="O9" s="58">
        <f>IF($B$31=0,B74,wz_rhp/(2*PI()))</f>
        <v>3536.77651315323</v>
      </c>
      <c r="P9" s="59" t="str">
        <f t="shared" si="32"/>
        <v>54,5454545454545</v>
      </c>
      <c r="Q9" s="60" t="str">
        <f t="shared" si="33"/>
        <v>1+45,2525252525252i</v>
      </c>
      <c r="R9" s="60">
        <f t="shared" si="0"/>
        <v>45.2635730110917</v>
      </c>
      <c r="S9" s="60">
        <f t="shared" si="1"/>
        <v>1.54870170853719</v>
      </c>
      <c r="T9" s="60" t="str">
        <f t="shared" si="34"/>
        <v>1+0,348444444444444i</v>
      </c>
      <c r="U9" s="60">
        <f t="shared" si="2"/>
        <v>1.05896814440482</v>
      </c>
      <c r="V9" s="60">
        <f t="shared" si="3"/>
        <v>0.335288352203504</v>
      </c>
      <c r="W9" s="61" t="str">
        <f t="shared" si="35"/>
        <v>1-i</v>
      </c>
      <c r="X9" s="60">
        <f t="shared" si="4"/>
        <v>1.4142135623731</v>
      </c>
      <c r="Y9" s="60">
        <f t="shared" si="5"/>
        <v>-0.785398163397448</v>
      </c>
      <c r="Z9" s="61" t="str">
        <f t="shared" si="36"/>
        <v>0,999897887444049+0,069047619047619i</v>
      </c>
      <c r="AA9" s="60">
        <f t="shared" si="6"/>
        <v>1.00227908239732</v>
      </c>
      <c r="AB9" s="60">
        <f t="shared" si="7"/>
        <v>0.0689452198861992</v>
      </c>
      <c r="AC9" s="62" t="str">
        <f t="shared" si="8"/>
        <v>-0,858449950708584-1,58279803583633i</v>
      </c>
      <c r="AD9" s="63">
        <f t="shared" si="9"/>
        <v>5.10837918116435</v>
      </c>
      <c r="AE9" s="64">
        <f t="shared" si="10"/>
        <v>-118.473734239804</v>
      </c>
      <c r="AF9" s="32" t="str">
        <f t="shared" si="37"/>
        <v>432,040091031901</v>
      </c>
      <c r="AG9" s="32" t="str">
        <f t="shared" si="11"/>
        <v>1+36,872427983539i</v>
      </c>
      <c r="AH9" s="32">
        <f t="shared" si="38"/>
        <v>36.8859857588389</v>
      </c>
      <c r="AI9" s="32">
        <f t="shared" si="39"/>
        <v>1.54368243741114</v>
      </c>
      <c r="AJ9" s="32" t="str">
        <f t="shared" si="12"/>
        <v>1+0,348444444444444i</v>
      </c>
      <c r="AK9" s="32">
        <f t="shared" si="40"/>
        <v>1.05896814440482</v>
      </c>
      <c r="AL9" s="32">
        <f t="shared" si="41"/>
        <v>0.335288352203504</v>
      </c>
      <c r="AM9" s="32" t="str">
        <f t="shared" si="13"/>
        <v>1-0,102868899974728i</v>
      </c>
      <c r="AN9" s="32">
        <f t="shared" si="42"/>
        <v>1.00527708149645</v>
      </c>
      <c r="AO9" s="32">
        <f t="shared" si="43"/>
        <v>-0.10250833327068</v>
      </c>
      <c r="AP9" s="30" t="str">
        <f t="shared" si="44"/>
        <v>3,20425682756635-12,0502485272983i</v>
      </c>
      <c r="AQ9" s="32">
        <f t="shared" si="45"/>
        <v>21.9166266435864</v>
      </c>
      <c r="AR9" s="31">
        <f t="shared" si="46"/>
        <v>-75.1091759322997</v>
      </c>
      <c r="AS9" s="61" t="str">
        <f t="shared" si="14"/>
        <v>-0,000201496259351621</v>
      </c>
      <c r="AT9" s="61" t="str">
        <f t="shared" si="15"/>
        <v>0,00499333333333333i</v>
      </c>
      <c r="AU9" s="61">
        <f t="shared" si="16"/>
        <v>0.00499333333333333</v>
      </c>
      <c r="AV9" s="61">
        <f t="shared" si="17"/>
        <v>1.5707963267949</v>
      </c>
      <c r="AW9" s="61" t="str">
        <f t="shared" si="18"/>
        <v>1+0,255649507985956i</v>
      </c>
      <c r="AX9" s="61">
        <f t="shared" si="19"/>
        <v>1.03216116519343</v>
      </c>
      <c r="AY9" s="61">
        <f t="shared" si="20"/>
        <v>0.250288738475614</v>
      </c>
      <c r="AZ9" s="61" t="str">
        <f t="shared" si="21"/>
        <v>1+12,2222222222222i</v>
      </c>
      <c r="BA9" s="61">
        <f t="shared" si="22"/>
        <v>12.2630630777707</v>
      </c>
      <c r="BB9" s="61">
        <f t="shared" si="23"/>
        <v>1.48915998466583</v>
      </c>
      <c r="BC9" s="57" t="str">
        <f t="shared" si="24"/>
        <v>-0,453263955050277+0,156229763041289i</v>
      </c>
      <c r="BD9" s="61">
        <f t="shared" si="25"/>
        <v>-6.38544246302184</v>
      </c>
      <c r="BE9" s="64">
        <f t="shared" si="26"/>
        <v>160.982093766812</v>
      </c>
      <c r="BF9" s="57" t="str">
        <f t="shared" si="27"/>
        <v>0,636384581951816+0,583309865386977i</v>
      </c>
      <c r="BG9" s="63">
        <f t="shared" si="28"/>
        <v>-1.27706328185748</v>
      </c>
      <c r="BH9" s="64">
        <f t="shared" si="29"/>
        <v>42.5083595270076</v>
      </c>
      <c r="BI9" s="23" t="str">
        <f t="shared" si="47"/>
        <v>0,430233349348878+5,96254359171613i</v>
      </c>
      <c r="BJ9" s="63">
        <f t="shared" si="30"/>
        <v>15.5311841805646</v>
      </c>
      <c r="BK9" s="64">
        <f t="shared" si="31"/>
        <v>85.8729178345123</v>
      </c>
      <c r="BL9">
        <f t="shared" si="48"/>
        <v>-1.27706328185748</v>
      </c>
      <c r="BM9">
        <f t="shared" si="49"/>
        <v>42.5083595270076</v>
      </c>
    </row>
    <row r="10" customFormat="1" ht="15.75" spans="1:68">
      <c r="A10" t="s">
        <v>104</v>
      </c>
      <c r="B10" s="15">
        <f>VIN_min</f>
        <v>3</v>
      </c>
      <c r="C10" t="s">
        <v>7</v>
      </c>
      <c r="E10" t="s">
        <v>105</v>
      </c>
      <c r="N10" s="30" t="s">
        <v>443</v>
      </c>
      <c r="O10" s="65">
        <f>IF(B31=0,B72,wz_esr/(2*PI()))</f>
        <v>10150.1876971872</v>
      </c>
      <c r="P10" s="66" t="str">
        <f t="shared" si="32"/>
        <v>54,5454545454545</v>
      </c>
      <c r="Q10" s="42" t="str">
        <f t="shared" si="33"/>
        <v>1+129,87012987013i</v>
      </c>
      <c r="R10" s="42">
        <f t="shared" si="0"/>
        <v>129.873979813065</v>
      </c>
      <c r="S10" s="42">
        <f t="shared" si="1"/>
        <v>1.56309647896715</v>
      </c>
      <c r="T10" s="42" t="str">
        <f t="shared" si="34"/>
        <v>1+i</v>
      </c>
      <c r="U10" s="42">
        <f t="shared" si="2"/>
        <v>1.4142135623731</v>
      </c>
      <c r="V10" s="42">
        <f t="shared" si="3"/>
        <v>0.785398163397448</v>
      </c>
      <c r="W10" s="32" t="str">
        <f t="shared" si="35"/>
        <v>1-2,86989795918367i</v>
      </c>
      <c r="X10" s="42">
        <f t="shared" si="4"/>
        <v>3.03913051646792</v>
      </c>
      <c r="Y10" s="42">
        <f t="shared" si="5"/>
        <v>-1.23550797459139</v>
      </c>
      <c r="Z10" s="32" t="str">
        <f t="shared" si="36"/>
        <v>0,999158968895607+0,198159620991254i</v>
      </c>
      <c r="AA10" s="42">
        <f t="shared" si="6"/>
        <v>1.01861959558803</v>
      </c>
      <c r="AB10" s="42">
        <f t="shared" si="7"/>
        <v>0.195785831313889</v>
      </c>
      <c r="AC10" s="67" t="str">
        <f t="shared" si="8"/>
        <v>-1,05572508159554-1,42330263237008i</v>
      </c>
      <c r="AD10" s="68">
        <f t="shared" si="9"/>
        <v>4.96977477474767</v>
      </c>
      <c r="AE10" s="31">
        <f t="shared" si="10"/>
        <v>-126.565925538166</v>
      </c>
      <c r="AF10" s="32" t="str">
        <f t="shared" si="37"/>
        <v>432,040091031901</v>
      </c>
      <c r="AG10" s="32" t="str">
        <f t="shared" si="11"/>
        <v>1+105,820105820106i</v>
      </c>
      <c r="AH10" s="32">
        <f t="shared" si="38"/>
        <v>105.824830714622</v>
      </c>
      <c r="AI10" s="32">
        <f t="shared" si="39"/>
        <v>1.5613466080827</v>
      </c>
      <c r="AJ10" s="32" t="str">
        <f t="shared" si="12"/>
        <v>1+i</v>
      </c>
      <c r="AK10" s="32">
        <f t="shared" si="40"/>
        <v>1.4142135623731</v>
      </c>
      <c r="AL10" s="32">
        <f t="shared" si="41"/>
        <v>0.785398163397448</v>
      </c>
      <c r="AM10" s="32" t="str">
        <f t="shared" si="13"/>
        <v>1-0,295223246100941i</v>
      </c>
      <c r="AN10" s="32">
        <f t="shared" si="42"/>
        <v>1.04266809917556</v>
      </c>
      <c r="AO10" s="32">
        <f t="shared" si="43"/>
        <v>-0.287068710552294</v>
      </c>
      <c r="AP10" s="30" t="str">
        <f t="shared" si="44"/>
        <v>2,92715886974696-5,26044843716809i</v>
      </c>
      <c r="AQ10" s="32">
        <f t="shared" si="45"/>
        <v>15.5919510133656</v>
      </c>
      <c r="AR10" s="31">
        <f t="shared" si="46"/>
        <v>-60.9063965451145</v>
      </c>
      <c r="AS10" s="32" t="str">
        <f t="shared" si="14"/>
        <v>-0,000201496259351621</v>
      </c>
      <c r="AT10" s="32" t="str">
        <f t="shared" si="15"/>
        <v>0,0143303571428571i</v>
      </c>
      <c r="AU10" s="32">
        <f t="shared" si="16"/>
        <v>0.0143303571428571</v>
      </c>
      <c r="AV10" s="32">
        <f t="shared" si="17"/>
        <v>1.5707963267949</v>
      </c>
      <c r="AW10" s="32" t="str">
        <f t="shared" si="18"/>
        <v>1+0,733688001235207i</v>
      </c>
      <c r="AX10" s="32">
        <f t="shared" si="19"/>
        <v>1.24028145320186</v>
      </c>
      <c r="AY10" s="32">
        <f t="shared" si="20"/>
        <v>0.632979432637693</v>
      </c>
      <c r="AZ10" s="32" t="str">
        <f t="shared" si="21"/>
        <v>1+35,0765306122448i</v>
      </c>
      <c r="BA10" s="32">
        <f t="shared" si="22"/>
        <v>35.0907822624653</v>
      </c>
      <c r="BB10" s="32">
        <f t="shared" si="23"/>
        <v>1.54229495588286</v>
      </c>
      <c r="BC10" s="30" t="str">
        <f t="shared" si="24"/>
        <v>-0,313910407543144+0,244373097637621i</v>
      </c>
      <c r="BD10" s="32">
        <f t="shared" si="25"/>
        <v>-8.00634451013459</v>
      </c>
      <c r="BE10" s="31">
        <f t="shared" si="26"/>
        <v>142.099941727678</v>
      </c>
      <c r="BF10" s="30" t="str">
        <f t="shared" si="27"/>
        <v>0,679219963765231+0,188798700941289i</v>
      </c>
      <c r="BG10" s="68">
        <f t="shared" si="28"/>
        <v>-3.03656973538693</v>
      </c>
      <c r="BH10" s="31">
        <f t="shared" si="29"/>
        <v>15.5340161895117</v>
      </c>
      <c r="BI10" s="23" t="str">
        <f t="shared" si="47"/>
        <v>0,366646445807951+2,36662839304863i</v>
      </c>
      <c r="BJ10" s="68">
        <f t="shared" si="30"/>
        <v>7.585606503231</v>
      </c>
      <c r="BK10" s="31">
        <f t="shared" si="31"/>
        <v>81.1935451825637</v>
      </c>
      <c r="BL10">
        <f t="shared" si="48"/>
        <v>-3.03656973538693</v>
      </c>
      <c r="BM10">
        <f t="shared" si="49"/>
        <v>15.5340161895117</v>
      </c>
    </row>
    <row r="11" customFormat="1" ht="15.75" spans="1:68">
      <c r="A11" t="s">
        <v>106</v>
      </c>
      <c r="B11" s="15">
        <f>VIN_nom</f>
        <v>4.2</v>
      </c>
      <c r="C11" t="s">
        <v>7</v>
      </c>
      <c r="E11" t="s">
        <v>107</v>
      </c>
      <c r="N11" s="69" t="s">
        <v>442</v>
      </c>
      <c r="O11" s="70">
        <f>IF(B31=0,B70,wp_lf/(2*PI()))</f>
        <v>78.1564452683415</v>
      </c>
      <c r="P11" s="71" t="str">
        <f t="shared" si="32"/>
        <v>54,5454545454545</v>
      </c>
      <c r="Q11" s="72" t="str">
        <f t="shared" si="33"/>
        <v>1+i</v>
      </c>
      <c r="R11" s="72">
        <f t="shared" si="0"/>
        <v>1.4142135623731</v>
      </c>
      <c r="S11" s="72">
        <f t="shared" si="1"/>
        <v>0.785398163397448</v>
      </c>
      <c r="T11" s="72" t="str">
        <f t="shared" si="34"/>
        <v>1+0,00770000000000001i</v>
      </c>
      <c r="U11" s="72">
        <f t="shared" si="2"/>
        <v>1.0000296445606</v>
      </c>
      <c r="V11" s="72">
        <f t="shared" si="3"/>
        <v>0.00769984782774668</v>
      </c>
      <c r="W11" s="73" t="str">
        <f t="shared" si="35"/>
        <v>1-0,0220982142857143i</v>
      </c>
      <c r="X11" s="72">
        <f t="shared" si="4"/>
        <v>1.00024413573618</v>
      </c>
      <c r="Y11" s="72">
        <f t="shared" si="5"/>
        <v>-0.0220946182577104</v>
      </c>
      <c r="Z11" s="73" t="str">
        <f t="shared" si="36"/>
        <v>0,999999950135266+0,00152582908163265i</v>
      </c>
      <c r="AA11" s="72">
        <f t="shared" si="6"/>
        <v>1.00000111421184</v>
      </c>
      <c r="AB11" s="72">
        <f t="shared" si="7"/>
        <v>0.0015258279735973</v>
      </c>
      <c r="AC11" s="74" t="str">
        <f t="shared" si="8"/>
        <v>26,8424084078162-27,7110047783274i</v>
      </c>
      <c r="AD11" s="75">
        <f t="shared" si="9"/>
        <v>31.7272394327721</v>
      </c>
      <c r="AE11" s="76">
        <f t="shared" si="10"/>
        <v>-45.9121830958467</v>
      </c>
      <c r="AF11" s="32" t="str">
        <f t="shared" si="37"/>
        <v>432,040091031901</v>
      </c>
      <c r="AG11" s="32" t="str">
        <f t="shared" si="11"/>
        <v>1+0,814814814814815i</v>
      </c>
      <c r="AH11" s="32">
        <f t="shared" si="38"/>
        <v>1.28993146424207</v>
      </c>
      <c r="AI11" s="32">
        <f t="shared" si="39"/>
        <v>0.683709311634371</v>
      </c>
      <c r="AJ11" s="32" t="str">
        <f t="shared" si="12"/>
        <v>1+0,00770000000000001i</v>
      </c>
      <c r="AK11" s="32">
        <f t="shared" si="40"/>
        <v>1.0000296445606</v>
      </c>
      <c r="AL11" s="32">
        <f t="shared" si="41"/>
        <v>0.00769984782774668</v>
      </c>
      <c r="AM11" s="32" t="str">
        <f t="shared" si="13"/>
        <v>1-0,00227321899497725i</v>
      </c>
      <c r="AN11" s="32">
        <f t="shared" si="42"/>
        <v>1.00000258375896</v>
      </c>
      <c r="AO11" s="32">
        <f t="shared" si="43"/>
        <v>-0.00227321507935103</v>
      </c>
      <c r="AP11" s="30" t="str">
        <f t="shared" si="44"/>
        <v>260,804141764323-210,162491515213i</v>
      </c>
      <c r="AQ11" s="32">
        <f t="shared" si="45"/>
        <v>50.4994281805411</v>
      </c>
      <c r="AR11" s="31">
        <f t="shared" si="46"/>
        <v>-38.8627348169936</v>
      </c>
      <c r="AS11" s="73" t="str">
        <f t="shared" si="14"/>
        <v>-0,000201496259351621</v>
      </c>
      <c r="AT11" s="73" t="str">
        <f t="shared" si="15"/>
        <v>0,00011034375i</v>
      </c>
      <c r="AU11" s="73">
        <f t="shared" si="16"/>
        <v>0.00011034375</v>
      </c>
      <c r="AV11" s="73">
        <f t="shared" si="17"/>
        <v>1.5707963267949</v>
      </c>
      <c r="AW11" s="73" t="str">
        <f t="shared" si="18"/>
        <v>1+0,0056493976095111i</v>
      </c>
      <c r="AX11" s="73">
        <f t="shared" si="19"/>
        <v>1.00001595771935</v>
      </c>
      <c r="AY11" s="73">
        <f t="shared" si="20"/>
        <v>0.00564933750918141</v>
      </c>
      <c r="AZ11" s="73" t="str">
        <f t="shared" si="21"/>
        <v>1+0,270089285714286i</v>
      </c>
      <c r="BA11" s="73">
        <f t="shared" si="22"/>
        <v>1.03583214000033</v>
      </c>
      <c r="BB11" s="73">
        <f t="shared" si="23"/>
        <v>0.263795051638099</v>
      </c>
      <c r="BC11" s="69" t="str">
        <f t="shared" si="24"/>
        <v>-0,482872367000107+1,82880562115977i</v>
      </c>
      <c r="BD11" s="73">
        <f t="shared" si="25"/>
        <v>5.53603401762629</v>
      </c>
      <c r="BE11" s="76">
        <f t="shared" si="26"/>
        <v>104.790659918978</v>
      </c>
      <c r="BF11" s="69" t="str">
        <f t="shared" si="27"/>
        <v>37,7165840227246+62,4704258509428i</v>
      </c>
      <c r="BG11" s="75">
        <f t="shared" si="28"/>
        <v>37.2632734503984</v>
      </c>
      <c r="BH11" s="76">
        <f t="shared" si="29"/>
        <v>58.878476823131</v>
      </c>
      <c r="BI11" s="23" t="str">
        <f t="shared" si="47"/>
        <v>258,411232582794+578,441740212934i</v>
      </c>
      <c r="BJ11" s="75">
        <f t="shared" si="30"/>
        <v>56.0354621981674</v>
      </c>
      <c r="BK11" s="76">
        <f t="shared" si="31"/>
        <v>65.927925101984</v>
      </c>
      <c r="BL11">
        <f t="shared" si="48"/>
        <v>37.2632734503984</v>
      </c>
      <c r="BM11">
        <f t="shared" si="49"/>
        <v>58.878476823131</v>
      </c>
      <c r="BO11" s="77" t="s">
        <v>460</v>
      </c>
      <c r="BP11" s="77"/>
    </row>
    <row r="12" customFormat="1" ht="15.75" spans="1:68">
      <c r="A12" t="s">
        <v>108</v>
      </c>
      <c r="B12" s="15">
        <f>VIN_max</f>
        <v>12.6</v>
      </c>
      <c r="C12" t="s">
        <v>7</v>
      </c>
      <c r="E12" t="s">
        <v>109</v>
      </c>
      <c r="N12" s="57" t="s">
        <v>449</v>
      </c>
      <c r="O12" s="64">
        <f>wz_ea/(2*PI())</f>
        <v>289.372623803446</v>
      </c>
      <c r="P12" s="59" t="str">
        <f t="shared" si="32"/>
        <v>54,5454545454545</v>
      </c>
      <c r="Q12" s="60" t="str">
        <f t="shared" si="33"/>
        <v>1+3,70247933884298i</v>
      </c>
      <c r="R12" s="60">
        <f t="shared" si="0"/>
        <v>3.83514709686071</v>
      </c>
      <c r="S12" s="60">
        <f t="shared" si="1"/>
        <v>1.3070012751568</v>
      </c>
      <c r="T12" s="60" t="str">
        <f t="shared" si="34"/>
        <v>1+0,028509090909091i</v>
      </c>
      <c r="U12" s="60">
        <f t="shared" si="2"/>
        <v>1.00040630159174</v>
      </c>
      <c r="V12" s="60">
        <f t="shared" si="3"/>
        <v>0.0285013709120361</v>
      </c>
      <c r="W12" s="61" t="str">
        <f t="shared" si="35"/>
        <v>1-0,081818181818182i</v>
      </c>
      <c r="X12" s="60">
        <f t="shared" si="4"/>
        <v>1.00334152454487</v>
      </c>
      <c r="Y12" s="60">
        <f t="shared" si="5"/>
        <v>-0.0816363421290702</v>
      </c>
      <c r="Z12" s="61" t="str">
        <f t="shared" si="36"/>
        <v>0,999999316436609+0,00564935064935066i</v>
      </c>
      <c r="AA12" s="60">
        <f t="shared" si="6"/>
        <v>1.00001527390158</v>
      </c>
      <c r="AB12" s="60">
        <f t="shared" si="7"/>
        <v>0.00564929441208836</v>
      </c>
      <c r="AC12" s="62" t="str">
        <f t="shared" si="8"/>
        <v>2,9061990556951-13,9766754765214i</v>
      </c>
      <c r="AD12" s="63">
        <f t="shared" si="9"/>
        <v>23.0919022220028</v>
      </c>
      <c r="AE12" s="64">
        <f t="shared" si="10"/>
        <v>-78.253747207026</v>
      </c>
      <c r="AF12" s="32" t="str">
        <f t="shared" si="37"/>
        <v>432,040091031901</v>
      </c>
      <c r="AG12" s="32" t="str">
        <f t="shared" si="11"/>
        <v>1+3,01683501683502i</v>
      </c>
      <c r="AH12" s="32">
        <f t="shared" si="38"/>
        <v>3.17825321816905</v>
      </c>
      <c r="AI12" s="32">
        <f t="shared" si="39"/>
        <v>1.25072081270771</v>
      </c>
      <c r="AJ12" s="32" t="str">
        <f t="shared" si="12"/>
        <v>1+0,028509090909091i</v>
      </c>
      <c r="AK12" s="32">
        <f t="shared" si="40"/>
        <v>1.00040630159174</v>
      </c>
      <c r="AL12" s="32">
        <f t="shared" si="41"/>
        <v>0.0285013709120361</v>
      </c>
      <c r="AM12" s="32" t="str">
        <f t="shared" si="13"/>
        <v>1-0,00841654636156865i</v>
      </c>
      <c r="AN12" s="32">
        <f t="shared" si="42"/>
        <v>1.00003541849909</v>
      </c>
      <c r="AO12" s="32">
        <f t="shared" si="43"/>
        <v>-0.00841634763220261</v>
      </c>
      <c r="AP12" s="30" t="str">
        <f t="shared" si="44"/>
        <v>45,3736200077137-128,203940904463i</v>
      </c>
      <c r="AQ12" s="32">
        <f t="shared" si="45"/>
        <v>42.6705470797839</v>
      </c>
      <c r="AR12" s="31">
        <f t="shared" si="46"/>
        <v>-70.5102368519678</v>
      </c>
      <c r="AS12" s="61" t="str">
        <f t="shared" si="14"/>
        <v>-0,000201496259351621</v>
      </c>
      <c r="AT12" s="61" t="str">
        <f t="shared" si="15"/>
        <v>0,000408545454545455i</v>
      </c>
      <c r="AU12" s="61">
        <f t="shared" si="16"/>
        <v>0.000408545454545455</v>
      </c>
      <c r="AV12" s="61">
        <f t="shared" si="17"/>
        <v>1.5707963267949</v>
      </c>
      <c r="AW12" s="61" t="str">
        <f t="shared" si="18"/>
        <v>1+0,0209167779261237i</v>
      </c>
      <c r="AX12" s="61">
        <f t="shared" si="19"/>
        <v>1.00021873187759</v>
      </c>
      <c r="AY12" s="61">
        <f t="shared" si="20"/>
        <v>0.0209137282823189</v>
      </c>
      <c r="AZ12" s="61" t="str">
        <f t="shared" si="21"/>
        <v>1+i</v>
      </c>
      <c r="BA12" s="61">
        <f t="shared" si="22"/>
        <v>1.4142135623731</v>
      </c>
      <c r="BB12" s="61">
        <f t="shared" si="23"/>
        <v>0.785398163397448</v>
      </c>
      <c r="BC12" s="57" t="str">
        <f t="shared" si="24"/>
        <v>-0,482676601594825+0,503300056390241i</v>
      </c>
      <c r="BD12" s="61">
        <f t="shared" si="25"/>
        <v>-3.13106761196691</v>
      </c>
      <c r="BE12" s="64">
        <f t="shared" si="26"/>
        <v>133.80173163554</v>
      </c>
      <c r="BF12" s="57" t="str">
        <f t="shared" si="27"/>
        <v>5,63170727172032+8,20890436921369i</v>
      </c>
      <c r="BG12" s="63">
        <f t="shared" si="28"/>
        <v>19.9608346100358</v>
      </c>
      <c r="BH12" s="64">
        <f t="shared" si="29"/>
        <v>55.5479844285137</v>
      </c>
      <c r="BI12" s="23" t="str">
        <f t="shared" si="47"/>
        <v>42,6242659792891+84,7175880153416i</v>
      </c>
      <c r="BJ12" s="63">
        <f t="shared" si="30"/>
        <v>39.539479467817</v>
      </c>
      <c r="BK12" s="64">
        <f t="shared" si="31"/>
        <v>63.2914947835719</v>
      </c>
      <c r="BL12">
        <f t="shared" si="48"/>
        <v>19.9608346100358</v>
      </c>
      <c r="BM12">
        <f t="shared" si="49"/>
        <v>55.5479844285137</v>
      </c>
      <c r="BO12" t="s">
        <v>461</v>
      </c>
      <c r="BP12">
        <f>SUM(BO19:BO559)/1000</f>
        <v>2.69153480392692</v>
      </c>
    </row>
    <row r="13" customFormat="1" ht="15.75" spans="1:68">
      <c r="A13" t="s">
        <v>110</v>
      </c>
      <c r="B13" s="15">
        <f>Fsw</f>
        <v>700000</v>
      </c>
      <c r="C13" t="s">
        <v>111</v>
      </c>
      <c r="E13" t="s">
        <v>112</v>
      </c>
      <c r="N13" s="69" t="s">
        <v>448</v>
      </c>
      <c r="O13" s="76">
        <f>wp1_ea/(2*PI())</f>
        <v>13834.4741635392</v>
      </c>
      <c r="P13" s="71" t="str">
        <f t="shared" si="32"/>
        <v>54,5454545454545</v>
      </c>
      <c r="Q13" s="72" t="str">
        <f t="shared" si="33"/>
        <v>1+177,010022859152i</v>
      </c>
      <c r="R13" s="72">
        <f t="shared" si="0"/>
        <v>177.012847535419</v>
      </c>
      <c r="S13" s="72">
        <f t="shared" si="1"/>
        <v>1.56514698928572</v>
      </c>
      <c r="T13" s="72" t="str">
        <f t="shared" si="34"/>
        <v>1+1,36297717601547i</v>
      </c>
      <c r="U13" s="72">
        <f t="shared" si="2"/>
        <v>1.69047531254943</v>
      </c>
      <c r="V13" s="72">
        <f t="shared" si="3"/>
        <v>0.937816894157202</v>
      </c>
      <c r="W13" s="73" t="str">
        <f t="shared" si="35"/>
        <v>1-3,91160541586073i</v>
      </c>
      <c r="X13" s="72">
        <f t="shared" si="4"/>
        <v>4.03740720381175</v>
      </c>
      <c r="Y13" s="72">
        <f t="shared" si="5"/>
        <v>-1.32050758831928</v>
      </c>
      <c r="Z13" s="73" t="str">
        <f t="shared" si="36"/>
        <v>0,998437610813211+0,270087040618955i</v>
      </c>
      <c r="AA13" s="72">
        <f t="shared" si="6"/>
        <v>1.03432329191443</v>
      </c>
      <c r="AB13" s="72">
        <f t="shared" si="7"/>
        <v>0.264186824319114</v>
      </c>
      <c r="AC13" s="74" t="str">
        <f t="shared" si="8"/>
        <v>-1,21630033492805-1,62943647804417i</v>
      </c>
      <c r="AD13" s="75">
        <f t="shared" si="9"/>
        <v>6.16417716919313</v>
      </c>
      <c r="AE13" s="76">
        <f t="shared" si="10"/>
        <v>-126.739668474547</v>
      </c>
      <c r="AF13" s="32" t="str">
        <f t="shared" si="37"/>
        <v>432,040091031901</v>
      </c>
      <c r="AG13" s="32" t="str">
        <f t="shared" si="11"/>
        <v>1+144,230388996346i</v>
      </c>
      <c r="AH13" s="32">
        <f t="shared" si="38"/>
        <v>144.233855630491</v>
      </c>
      <c r="AI13" s="32">
        <f t="shared" si="39"/>
        <v>1.56386308627858</v>
      </c>
      <c r="AJ13" s="32" t="str">
        <f t="shared" si="12"/>
        <v>1+1,36297717601547i</v>
      </c>
      <c r="AK13" s="32">
        <f t="shared" si="40"/>
        <v>1.69047531254943</v>
      </c>
      <c r="AL13" s="32">
        <f t="shared" si="41"/>
        <v>0.937816894157202</v>
      </c>
      <c r="AM13" s="32" t="str">
        <f t="shared" si="13"/>
        <v>1-0,402382546264781i</v>
      </c>
      <c r="AN13" s="32">
        <f t="shared" si="42"/>
        <v>1.07792008680538</v>
      </c>
      <c r="AO13" s="32">
        <f t="shared" si="43"/>
        <v>-0.382558607376627</v>
      </c>
      <c r="AP13" s="30" t="str">
        <f t="shared" si="44"/>
        <v>2,90946690680349-4,61815245801987i</v>
      </c>
      <c r="AQ13" s="32">
        <f t="shared" si="45"/>
        <v>14.7410446705828</v>
      </c>
      <c r="AR13" s="31">
        <f t="shared" si="46"/>
        <v>-57.7887982078741</v>
      </c>
      <c r="AS13" s="73" t="str">
        <f t="shared" si="14"/>
        <v>-0,000201496259351621</v>
      </c>
      <c r="AT13" s="73" t="str">
        <f t="shared" si="15"/>
        <v>0,0195319497098646i</v>
      </c>
      <c r="AU13" s="73">
        <f t="shared" si="16"/>
        <v>0.0195319497098646</v>
      </c>
      <c r="AV13" s="73">
        <f t="shared" si="17"/>
        <v>1.5707963267949</v>
      </c>
      <c r="AW13" s="73" t="str">
        <f t="shared" si="18"/>
        <v>1+i</v>
      </c>
      <c r="AX13" s="73">
        <f t="shared" si="19"/>
        <v>1.4142135623731</v>
      </c>
      <c r="AY13" s="73">
        <f t="shared" si="20"/>
        <v>0.785398163397448</v>
      </c>
      <c r="AZ13" s="73" t="str">
        <f t="shared" si="21"/>
        <v>1+47,8085106382978i</v>
      </c>
      <c r="BA13" s="73">
        <f t="shared" si="22"/>
        <v>47.8189678835944</v>
      </c>
      <c r="BB13" s="73">
        <f t="shared" si="23"/>
        <v>1.54988259851258</v>
      </c>
      <c r="BC13" s="69" t="str">
        <f t="shared" si="24"/>
        <v>-0,241443889103248+0,251760128001296i</v>
      </c>
      <c r="BD13" s="73">
        <f t="shared" si="25"/>
        <v>-9.14786817885239</v>
      </c>
      <c r="BE13" s="76">
        <f t="shared" si="26"/>
        <v>133.80173163554</v>
      </c>
      <c r="BF13" s="69" t="str">
        <f t="shared" si="27"/>
        <v>0,703895419464993+0,0872015522961785i</v>
      </c>
      <c r="BG13" s="75">
        <f t="shared" si="28"/>
        <v>-2.98369100965925</v>
      </c>
      <c r="BH13" s="76">
        <f t="shared" si="29"/>
        <v>7.06206316099246</v>
      </c>
      <c r="BI13" s="23" t="str">
        <f t="shared" si="47"/>
        <v>0,460193648764751+1,84751245080842i</v>
      </c>
      <c r="BJ13" s="75">
        <f t="shared" si="30"/>
        <v>5.59317649173041</v>
      </c>
      <c r="BK13" s="76">
        <f t="shared" si="31"/>
        <v>76.0129334276656</v>
      </c>
      <c r="BL13">
        <f t="shared" si="48"/>
        <v>-2.98369100965925</v>
      </c>
      <c r="BM13">
        <f t="shared" si="49"/>
        <v>7.06206316099246</v>
      </c>
    </row>
    <row r="14" customFormat="1" spans="1:68">
      <c r="B14" s="13"/>
      <c r="O14" s="18"/>
      <c r="BO14" t="s">
        <v>462</v>
      </c>
      <c r="BP14" s="78">
        <f>SUM(BP19:BP559)</f>
        <v>49.0890077318169</v>
      </c>
    </row>
    <row r="15" ht="15.75" spans="1:68">
      <c r="A15" s="79" t="s">
        <v>463</v>
      </c>
      <c r="O15" s="18" t="s">
        <v>464</v>
      </c>
      <c r="P15">
        <f>B16</f>
        <v>4</v>
      </c>
      <c r="Q15" t="s">
        <v>7</v>
      </c>
      <c r="BO15" s="80"/>
      <c r="BP15" s="80"/>
    </row>
    <row r="16" ht="15.75" spans="1:68">
      <c r="A16" t="s">
        <v>431</v>
      </c>
      <c r="B16">
        <v>4</v>
      </c>
      <c r="C16" t="s">
        <v>7</v>
      </c>
      <c r="E16" t="s">
        <v>465</v>
      </c>
      <c r="O16" s="81"/>
      <c r="P16" s="25" t="s">
        <v>466</v>
      </c>
      <c r="Q16" s="25"/>
      <c r="R16" s="25"/>
      <c r="S16" s="25"/>
      <c r="T16" s="25"/>
      <c r="U16" s="25"/>
      <c r="V16" s="25"/>
      <c r="W16" s="25"/>
      <c r="X16" s="25"/>
      <c r="Y16" s="25"/>
      <c r="Z16" s="25"/>
      <c r="AA16" s="25"/>
      <c r="AB16" s="25"/>
      <c r="AC16" s="25"/>
      <c r="AD16" s="25"/>
      <c r="AE16" s="26"/>
      <c r="AF16" s="27" t="s">
        <v>467</v>
      </c>
      <c r="AG16" s="25"/>
      <c r="AH16" s="25"/>
      <c r="AI16" s="25"/>
      <c r="AJ16" s="25"/>
      <c r="AK16" s="25"/>
      <c r="AL16" s="25"/>
      <c r="AM16" s="25"/>
      <c r="AN16" s="25"/>
      <c r="AO16" s="25"/>
      <c r="AP16" s="25"/>
      <c r="AQ16" s="25"/>
      <c r="AR16" s="26"/>
      <c r="AS16" s="27" t="s">
        <v>438</v>
      </c>
      <c r="AT16" s="25"/>
      <c r="AU16" s="25"/>
      <c r="AV16" s="25"/>
      <c r="AW16" s="25"/>
      <c r="AX16" s="25"/>
      <c r="AY16" s="25"/>
      <c r="AZ16" s="25"/>
      <c r="BA16" s="25"/>
      <c r="BB16" s="25"/>
      <c r="BC16" s="25"/>
      <c r="BD16" s="25"/>
      <c r="BE16" s="26"/>
      <c r="BF16" s="27" t="s">
        <v>439</v>
      </c>
      <c r="BG16" s="25"/>
      <c r="BH16" s="26"/>
      <c r="BI16" s="27" t="s">
        <v>440</v>
      </c>
      <c r="BJ16" s="25"/>
      <c r="BK16" s="26"/>
      <c r="BL16" s="27" t="s">
        <v>441</v>
      </c>
      <c r="BM16" s="26"/>
      <c r="BO16" s="80"/>
      <c r="BP16" s="80"/>
    </row>
    <row r="17" spans="1:68">
      <c r="A17" t="s">
        <v>468</v>
      </c>
      <c r="B17">
        <f>IOUT</f>
        <v>3</v>
      </c>
      <c r="C17" t="s">
        <v>12</v>
      </c>
      <c r="E17" t="s">
        <v>469</v>
      </c>
      <c r="O17" s="82"/>
      <c r="P17" s="32"/>
      <c r="Q17" s="33" t="s">
        <v>442</v>
      </c>
      <c r="R17" s="33"/>
      <c r="S17" s="33"/>
      <c r="T17" s="34" t="s">
        <v>443</v>
      </c>
      <c r="U17" s="34"/>
      <c r="V17" s="34"/>
      <c r="W17" s="34" t="s">
        <v>446</v>
      </c>
      <c r="X17" s="34"/>
      <c r="Y17" s="34"/>
      <c r="Z17" s="34" t="s">
        <v>444</v>
      </c>
      <c r="AA17" s="34"/>
      <c r="AB17" s="34"/>
      <c r="AC17" s="35" t="s">
        <v>445</v>
      </c>
      <c r="AD17" s="34"/>
      <c r="AE17" s="36"/>
      <c r="AF17" s="34"/>
      <c r="AG17" s="33" t="s">
        <v>442</v>
      </c>
      <c r="AH17" s="33"/>
      <c r="AI17" s="33"/>
      <c r="AJ17" s="37" t="s">
        <v>443</v>
      </c>
      <c r="AK17" s="37"/>
      <c r="AL17" s="37"/>
      <c r="AM17" s="34" t="s">
        <v>446</v>
      </c>
      <c r="AN17" s="34"/>
      <c r="AO17" s="34"/>
      <c r="AP17" s="38" t="s">
        <v>445</v>
      </c>
      <c r="AQ17" s="37"/>
      <c r="AR17" s="39"/>
      <c r="AS17" s="32"/>
      <c r="AT17" s="34" t="s">
        <v>447</v>
      </c>
      <c r="AU17" s="34"/>
      <c r="AV17" s="34"/>
      <c r="AW17" s="34" t="s">
        <v>448</v>
      </c>
      <c r="AX17" s="34"/>
      <c r="AY17" s="34"/>
      <c r="AZ17" s="34" t="s">
        <v>449</v>
      </c>
      <c r="BA17" s="34"/>
      <c r="BB17" s="34"/>
      <c r="BC17" s="35" t="s">
        <v>445</v>
      </c>
      <c r="BD17" s="34"/>
      <c r="BE17" s="36"/>
      <c r="BF17" s="35" t="s">
        <v>445</v>
      </c>
      <c r="BG17" s="34"/>
      <c r="BH17" s="36"/>
      <c r="BI17" s="35" t="s">
        <v>445</v>
      </c>
      <c r="BJ17" s="34"/>
      <c r="BK17" s="36"/>
      <c r="BL17" s="32"/>
      <c r="BM17" s="31"/>
      <c r="BO17" s="80"/>
      <c r="BP17" s="80"/>
    </row>
    <row r="18" ht="15.75" spans="1:68">
      <c r="A18" t="s">
        <v>470</v>
      </c>
      <c r="B18">
        <f>VOUT/(VOUT+VIN_var)</f>
        <v>0.833333333333333</v>
      </c>
      <c r="N18" s="7"/>
      <c r="O18" s="83" t="s">
        <v>471</v>
      </c>
      <c r="P18" s="72" t="s">
        <v>450</v>
      </c>
      <c r="Q18" s="73" t="s">
        <v>451</v>
      </c>
      <c r="R18" s="72" t="s">
        <v>452</v>
      </c>
      <c r="S18" s="72" t="s">
        <v>453</v>
      </c>
      <c r="T18" s="72" t="s">
        <v>451</v>
      </c>
      <c r="U18" s="72" t="s">
        <v>452</v>
      </c>
      <c r="V18" s="72" t="s">
        <v>453</v>
      </c>
      <c r="W18" s="49" t="s">
        <v>451</v>
      </c>
      <c r="X18" s="72" t="s">
        <v>452</v>
      </c>
      <c r="Y18" s="72" t="s">
        <v>453</v>
      </c>
      <c r="Z18" s="49" t="s">
        <v>451</v>
      </c>
      <c r="AA18" s="49" t="s">
        <v>452</v>
      </c>
      <c r="AB18" s="49" t="s">
        <v>453</v>
      </c>
      <c r="AC18" s="48" t="s">
        <v>454</v>
      </c>
      <c r="AD18" s="49" t="s">
        <v>452</v>
      </c>
      <c r="AE18" s="50" t="s">
        <v>453</v>
      </c>
      <c r="AF18" s="84" t="s">
        <v>450</v>
      </c>
      <c r="AG18" s="47" t="s">
        <v>451</v>
      </c>
      <c r="AH18" s="47" t="s">
        <v>455</v>
      </c>
      <c r="AI18" s="47" t="s">
        <v>453</v>
      </c>
      <c r="AJ18" s="47" t="s">
        <v>451</v>
      </c>
      <c r="AK18" s="47" t="s">
        <v>455</v>
      </c>
      <c r="AL18" s="47" t="s">
        <v>453</v>
      </c>
      <c r="AM18" s="47" t="s">
        <v>451</v>
      </c>
      <c r="AN18" s="47" t="s">
        <v>455</v>
      </c>
      <c r="AO18" s="47" t="s">
        <v>453</v>
      </c>
      <c r="AP18" s="48" t="s">
        <v>454</v>
      </c>
      <c r="AQ18" s="49" t="s">
        <v>452</v>
      </c>
      <c r="AR18" s="50" t="s">
        <v>453</v>
      </c>
      <c r="AS18" s="72" t="s">
        <v>456</v>
      </c>
      <c r="AT18" s="49" t="s">
        <v>451</v>
      </c>
      <c r="AU18" s="49" t="s">
        <v>455</v>
      </c>
      <c r="AV18" s="49" t="s">
        <v>453</v>
      </c>
      <c r="AW18" s="49" t="s">
        <v>451</v>
      </c>
      <c r="AX18" s="49" t="s">
        <v>455</v>
      </c>
      <c r="AY18" s="49" t="s">
        <v>453</v>
      </c>
      <c r="AZ18" s="49" t="s">
        <v>451</v>
      </c>
      <c r="BA18" s="49" t="s">
        <v>455</v>
      </c>
      <c r="BB18" s="49" t="s">
        <v>453</v>
      </c>
      <c r="BC18" s="48" t="s">
        <v>454</v>
      </c>
      <c r="BD18" s="49" t="s">
        <v>452</v>
      </c>
      <c r="BE18" s="50" t="s">
        <v>453</v>
      </c>
      <c r="BF18" s="48" t="s">
        <v>454</v>
      </c>
      <c r="BG18" s="49" t="s">
        <v>452</v>
      </c>
      <c r="BH18" s="50" t="s">
        <v>453</v>
      </c>
      <c r="BI18" s="48" t="s">
        <v>454</v>
      </c>
      <c r="BJ18" s="49" t="s">
        <v>452</v>
      </c>
      <c r="BK18" s="50" t="s">
        <v>453</v>
      </c>
      <c r="BL18" s="43" t="s">
        <v>472</v>
      </c>
      <c r="BM18" s="45" t="s">
        <v>473</v>
      </c>
      <c r="BO18" s="80" t="s">
        <v>474</v>
      </c>
      <c r="BP18" s="80" t="s">
        <v>475</v>
      </c>
    </row>
    <row r="19" spans="1:68">
      <c r="A19" t="s">
        <v>115</v>
      </c>
      <c r="B19" s="85">
        <f>VOUT</f>
        <v>20</v>
      </c>
      <c r="C19" t="s">
        <v>7</v>
      </c>
      <c r="E19" t="s">
        <v>476</v>
      </c>
      <c r="N19" s="7">
        <v>1</v>
      </c>
      <c r="O19" s="18">
        <f>10^(1+(N19/100))</f>
        <v>10.2329299228075</v>
      </c>
      <c r="P19" s="86" t="str">
        <f t="shared" ref="P19:P82" si="50">COMPLEX(Adc,0)</f>
        <v>54,5454545454545</v>
      </c>
      <c r="Q19" s="4" t="str">
        <f t="shared" ref="Q19:Q82" si="51">IMSUM(COMPLEX(1,0),IMDIV(COMPLEX(0,2*PI()*O19),COMPLEX(wp_lf,0)))</f>
        <v>1+0,130928804242233i</v>
      </c>
      <c r="R19" s="4">
        <f>IMABS(Q19)</f>
        <v>1.00853475486981</v>
      </c>
      <c r="S19" s="4">
        <f>IMARGUMENT(Q19)</f>
        <v>0.130188263673365</v>
      </c>
      <c r="T19" s="4" t="str">
        <f t="shared" ref="T19:T82" si="52">IMSUM(COMPLEX(1,0),IMDIV(COMPLEX(0,2*PI()*O19),COMPLEX(wz_esr,0)))</f>
        <v>1+0,0010081517926652i</v>
      </c>
      <c r="U19" s="4">
        <f>IMABS(T19)</f>
        <v>1.00000050818489</v>
      </c>
      <c r="V19" s="4">
        <f>IMARGUMENT(T19)</f>
        <v>0.00100815145111365</v>
      </c>
      <c r="W19" t="str">
        <f t="shared" ref="W19:W82" si="53">IMSUB(COMPLEX(1,0),IMDIV(COMPLEX(0,2*PI()*O19),COMPLEX(wz_rhp,0)))</f>
        <v>1-0,00289329277231721i</v>
      </c>
      <c r="X19" s="4">
        <f>IMABS(W19)</f>
        <v>1.00000418556277</v>
      </c>
      <c r="Y19" s="4">
        <f>IMARGUMENT(W19)</f>
        <v>-0.00289328469896852</v>
      </c>
      <c r="Z19" t="str">
        <f t="shared" ref="Z19:Z82" si="54">IMSUM(COMPLEX(1,0),IMDIV(COMPLEX(0,2*PI()*O19),COMPLEX(Q*(wsl/2),0)),IMDIV(IMPOWER(COMPLEX(0,2*PI()*O19),2),IMPOWER(COMPLEX(wsl/2,0),2)))</f>
        <v>0,999999999145201+0,000199774977136188i</v>
      </c>
      <c r="AA19" s="4">
        <f>IMABS(Z19)</f>
        <v>1.00000001910022</v>
      </c>
      <c r="AB19" s="4">
        <f>IMARGUMENT(Z19)</f>
        <v>0.00019977497464928</v>
      </c>
      <c r="AC19" s="67" t="str">
        <f>(IMDIV(IMPRODUCT(P19,T19,W19),IMPRODUCT(Q19,Z19)))</f>
        <v>53,6116712679657-7,13303472844702i</v>
      </c>
      <c r="AD19" s="68">
        <f>20*LOG(IMABS(AC19))</f>
        <v>34.6613945294488</v>
      </c>
      <c r="AE19" s="31">
        <f>(180/PI())*IMARGUMENT(AC19)</f>
        <v>-7.57869449244173</v>
      </c>
      <c r="AF19" s="32" t="str">
        <f>COMPLEX($B$68,0)</f>
        <v>432,040091031901</v>
      </c>
      <c r="AG19" s="32" t="str">
        <f t="shared" ref="AG19:AG82" si="55">IMSUM(COMPLEX(1,0),IMDIV(COMPLEX(0,2*PI()*O19),COMPLEX(wp_lf_DCM,0)))</f>
        <v>1+0,10668272938256i</v>
      </c>
      <c r="AH19" s="32">
        <f>IMABS(AG19)</f>
        <v>1.00567450238559</v>
      </c>
      <c r="AI19" s="32">
        <f>IMARGUMENT(AG19)</f>
        <v>0.106280744878041</v>
      </c>
      <c r="AJ19" s="32" t="str">
        <f t="shared" ref="AJ19:AJ82" si="56">IMSUM(COMPLEX(1,0),IMDIV(COMPLEX(0,2*PI()*O19),COMPLEX(wz1_dcm,0)))</f>
        <v>1+0,0010081517926652i</v>
      </c>
      <c r="AK19" s="32">
        <f>IMABS(AJ19)</f>
        <v>1.00000050818489</v>
      </c>
      <c r="AL19" s="32">
        <f>IMARGUMENT(AJ19)</f>
        <v>0.00100815145111365</v>
      </c>
      <c r="AM19" s="32" t="str">
        <f t="shared" ref="AM19:AM82" si="57">IMSUB(COMPLEX(1,0),IMDIV(COMPLEX(0,2*PI()*O19),COMPLEX(wz2_dcm,0)))</f>
        <v>1-0,000297629844793102i</v>
      </c>
      <c r="AN19" s="32">
        <f>IMABS(AM19)</f>
        <v>1.00000004429176</v>
      </c>
      <c r="AO19" s="32">
        <f>IMARGUMENT(AM19)</f>
        <v>-0.000297629836004736</v>
      </c>
      <c r="AP19" s="30" t="str">
        <f>(IMDIV(IMPRODUCT(AF19,AJ19,AM19),IMPRODUCT(AG19)))</f>
        <v>427,210795949328-45,2690397665314i</v>
      </c>
      <c r="AQ19" s="32">
        <f>20*LOG(IMABS(AP19))</f>
        <v>52.6613369914643</v>
      </c>
      <c r="AR19" s="31">
        <f>(180/PI())*IMARGUMENT(AP19)</f>
        <v>-6.04872823521983</v>
      </c>
      <c r="AS19" t="str">
        <f t="shared" ref="AS19:AS82" si="58">COMPLEX(Adc_ea,0)</f>
        <v>-0,000201496259351621</v>
      </c>
      <c r="AT19" t="str">
        <f t="shared" ref="AT19:AT82" si="59">COMPLEX(0,2*PI()*O19*wp0_ea)</f>
        <v>0,0000144471752431039i</v>
      </c>
      <c r="AU19">
        <f>IMABS(AT19)</f>
        <v>1.44471752431039e-5</v>
      </c>
      <c r="AV19">
        <f>IMARGUMENT(AT19)</f>
        <v>1.5707963267949</v>
      </c>
      <c r="AW19" t="str">
        <f t="shared" ref="AW19:AW82" si="60">IMSUM(COMPLEX(1,0),IMDIV(COMPLEX(0,2*PI()*O19),COMPLEX(wp1_ea,0)))</f>
        <v>1+0,000739668873702219i</v>
      </c>
      <c r="AX19">
        <f>IMABS(AW19)</f>
        <v>1.00000027355498</v>
      </c>
      <c r="AY19">
        <f>IMARGUMENT(AW19)</f>
        <v>0.00073966873880884</v>
      </c>
      <c r="AZ19" t="str">
        <f t="shared" ref="AZ19:AZ82" si="61">IMSUM(COMPLEX(1,0),IMDIV(COMPLEX(0,2*PI()*O19),COMPLEX(wz_ea,0)))</f>
        <v>1+0,0353624672172103i</v>
      </c>
      <c r="BA19">
        <f>IMABS(AZ19)</f>
        <v>1.00062505669591</v>
      </c>
      <c r="BB19">
        <f>IMARGUMENT(AZ19)</f>
        <v>0.0353477379637583</v>
      </c>
      <c r="BC19" s="30" t="str">
        <f>IMPRODUCT(AS19,IMDIV(AZ19,IMPRODUCT(AT19,AW19)))</f>
        <v>-0,48288751401389+13,9474614350335i</v>
      </c>
      <c r="BD19" s="32">
        <f>20*LOG(IMABS(BC19))</f>
        <v>22.8951060488895</v>
      </c>
      <c r="BE19" s="31">
        <f>(180/PI())*IMARGUMENT(BC19)</f>
        <v>91.9828963036862</v>
      </c>
      <c r="BF19" s="30" t="str">
        <f>IMPRODUCT(AC19,BC19)</f>
        <v>73,5993201290516+751,19117088504i</v>
      </c>
      <c r="BG19" s="68">
        <f>20*LOG(IMABS(BF19))</f>
        <v>57.5565005783383</v>
      </c>
      <c r="BH19" s="31">
        <f>(180/PI())*IMARGUMENT(BF19)</f>
        <v>84.4042018112445</v>
      </c>
      <c r="BI19" s="30" t="str">
        <f>IMPRODUCT(AP19,BC19)</f>
        <v>425,093427128828+5980,36595520787i</v>
      </c>
      <c r="BJ19" s="68">
        <f>20*LOG(IMABS(BI19))</f>
        <v>75.5564430403537</v>
      </c>
      <c r="BK19" s="31">
        <f>(180/PI())*IMARGUMENT(BI19)</f>
        <v>85.9341680684664</v>
      </c>
      <c r="BL19" s="32">
        <f>IF($B$31=0,BJ19,BG19)</f>
        <v>57.5565005783383</v>
      </c>
      <c r="BM19" s="31">
        <f>IF($B$31=0,BK19,BH19)</f>
        <v>84.4042018112445</v>
      </c>
      <c r="BO19">
        <f>SUM((BL20&lt;0)*(BL19&gt;0))*O19</f>
        <v>0</v>
      </c>
      <c r="BP19">
        <f>IF(BO19&gt;0,BM19,0)</f>
        <v>0</v>
      </c>
    </row>
    <row r="20" spans="1:68">
      <c r="A20" t="s">
        <v>117</v>
      </c>
      <c r="B20" s="85">
        <f>IOUT</f>
        <v>3</v>
      </c>
      <c r="C20" t="s">
        <v>12</v>
      </c>
      <c r="E20" t="s">
        <v>118</v>
      </c>
      <c r="N20" s="7">
        <v>2</v>
      </c>
      <c r="O20" s="18">
        <f t="shared" ref="O20:O83" si="62">10^(1+(N20/100))</f>
        <v>10.471285480509</v>
      </c>
      <c r="P20" s="86" t="str">
        <f t="shared" si="50"/>
        <v>54,5454545454545</v>
      </c>
      <c r="Q20" s="4" t="str">
        <f t="shared" si="51"/>
        <v>1+0,133978527868777i</v>
      </c>
      <c r="R20" s="4">
        <f t="shared" ref="R20:R83" si="63">IMABS(Q20)</f>
        <v>1.00893520402942</v>
      </c>
      <c r="S20" s="4">
        <f t="shared" ref="S20:S83" si="64">IMARGUMENT(Q20)</f>
        <v>0.133185403396793</v>
      </c>
      <c r="T20" s="4" t="str">
        <f t="shared" si="52"/>
        <v>1+0,00103163466458958i</v>
      </c>
      <c r="U20" s="4">
        <f t="shared" ref="U20:U83" si="65">IMABS(T20)</f>
        <v>1.0000005321349</v>
      </c>
      <c r="V20" s="4">
        <f t="shared" ref="V20:V83" si="66">IMARGUMENT(T20)</f>
        <v>0.00103163429861051</v>
      </c>
      <c r="W20" t="str">
        <f t="shared" si="53"/>
        <v>1-0,00296068621852877i</v>
      </c>
      <c r="X20" s="4">
        <f t="shared" ref="X20:X83" si="67">IMABS(W20)</f>
        <v>1.00000438282184</v>
      </c>
      <c r="Y20" s="4">
        <f t="shared" ref="Y20:Y83" si="68">IMARGUMENT(W20)</f>
        <v>-0.00296067756778183</v>
      </c>
      <c r="Z20" t="str">
        <f t="shared" si="54"/>
        <v>0,999999999104916+0,00020442833413651i</v>
      </c>
      <c r="AA20" s="4">
        <f t="shared" ref="AA20:AA83" si="69">IMABS(Z20)</f>
        <v>1.00000002000039</v>
      </c>
      <c r="AB20" s="4">
        <f t="shared" ref="AB20:AB83" si="70">IMARGUMENT(Z20)</f>
        <v>0.00020442833147174</v>
      </c>
      <c r="AC20" s="67" t="str">
        <f t="shared" ref="AC20:AC83" si="71">(IMDIV(IMPRODUCT(P20,T20,W20),IMPRODUCT(Q20,Z20)))</f>
        <v>53,5684394396761-7,29339231592295i</v>
      </c>
      <c r="AD20" s="68">
        <f t="shared" ref="AD20:AD83" si="72">20*LOG(IMABS(AC20))</f>
        <v>34.6579483051816</v>
      </c>
      <c r="AE20" s="31">
        <f t="shared" ref="AE20:AE83" si="73">(180/PI())*IMARGUMENT(AC20)</f>
        <v>-7.75320042581139</v>
      </c>
      <c r="AF20" s="32" t="str">
        <f t="shared" ref="AF20:AF83" si="74">COMPLEX($B$68,0)</f>
        <v>432,040091031901</v>
      </c>
      <c r="AG20" s="32" t="str">
        <f t="shared" si="55"/>
        <v>1+0,109167689374559i</v>
      </c>
      <c r="AH20" s="32">
        <f t="shared" ref="AH20:AH83" si="75">IMABS(AG20)</f>
        <v>1.005941143608</v>
      </c>
      <c r="AI20" s="32">
        <f t="shared" ref="AI20:AI83" si="76">IMARGUMENT(AG20)</f>
        <v>0.108737092493666</v>
      </c>
      <c r="AJ20" s="32" t="str">
        <f t="shared" si="56"/>
        <v>1+0,00103163466458958i</v>
      </c>
      <c r="AK20" s="32">
        <f t="shared" ref="AK20:AK83" si="77">IMABS(AJ20)</f>
        <v>1.0000005321349</v>
      </c>
      <c r="AL20" s="32">
        <f t="shared" ref="AL20:AL83" si="78">IMARGUMENT(AJ20)</f>
        <v>0.00103163429861051</v>
      </c>
      <c r="AM20" s="32" t="str">
        <f t="shared" si="57"/>
        <v>1-0,000304562534470391i</v>
      </c>
      <c r="AN20" s="32">
        <f t="shared" ref="AN20:AN83" si="79">IMABS(AM20)</f>
        <v>1.00000004637917</v>
      </c>
      <c r="AO20" s="32">
        <f t="shared" ref="AO20:AO83" si="80">IMARGUMENT(AM20)</f>
        <v>-0.000304562525053487</v>
      </c>
      <c r="AP20" s="30" t="str">
        <f t="shared" ref="AP20:AP83" si="81">(IMDIV(IMPRODUCT(AF20,AJ20,AM20),IMPRODUCT(AG20)))</f>
        <v>426,98587875364-46,298937469817i</v>
      </c>
      <c r="AQ20" s="32">
        <f t="shared" ref="AQ20:AQ83" si="82">20*LOG(IMABS(AP20))</f>
        <v>52.6590345747203</v>
      </c>
      <c r="AR20" s="31">
        <f t="shared" ref="AR20:AR83" si="83">(180/PI())*IMARGUMENT(AP20)</f>
        <v>-6.18851833238279</v>
      </c>
      <c r="AS20" t="str">
        <f t="shared" si="58"/>
        <v>-0,000201496259351621</v>
      </c>
      <c r="AT20" t="str">
        <f t="shared" si="59"/>
        <v>0,0000147836931845203i</v>
      </c>
      <c r="AU20">
        <f t="shared" ref="AU20:AU83" si="84">IMABS(AT20)</f>
        <v>1.47836931845203e-5</v>
      </c>
      <c r="AV20">
        <f t="shared" ref="AV20:AV83" si="85">IMARGUMENT(AT20)</f>
        <v>1.5707963267949</v>
      </c>
      <c r="AW20" t="str">
        <f t="shared" si="60"/>
        <v>1+0,000756897975067682i</v>
      </c>
      <c r="AX20">
        <f t="shared" ref="AX20:AX83" si="86">IMABS(AW20)</f>
        <v>1.00000028644723</v>
      </c>
      <c r="AY20">
        <f t="shared" ref="AY20:AY83" si="87">IMARGUMENT(AW20)</f>
        <v>0.000756897830526825</v>
      </c>
      <c r="AZ20" t="str">
        <f t="shared" si="61"/>
        <v>1+0,0361861648931294i</v>
      </c>
      <c r="BA20">
        <f t="shared" ref="BA20:BA83" si="88">IMABS(AZ20)</f>
        <v>1.00065450507639</v>
      </c>
      <c r="BB20">
        <f t="shared" ref="BB20:BB83" si="89">IMARGUMENT(AZ20)</f>
        <v>0.0361703827711888</v>
      </c>
      <c r="BC20" s="30" t="str">
        <f t="shared" ref="BC20:BC83" si="90">IMPRODUCT(AS20,IMDIV(AZ20,IMPRODUCT(AT20,AW20)))</f>
        <v>-0,482887501562884+13,6299949022069i</v>
      </c>
      <c r="BD20" s="32">
        <f t="shared" ref="BD20:BD83" si="91">20*LOG(IMABS(BC20))</f>
        <v>22.6953615587497</v>
      </c>
      <c r="BE20" s="31">
        <f t="shared" ref="BE20:BE83" si="92">(180/PI())*IMARGUMENT(BC20)</f>
        <v>92.02904322495</v>
      </c>
      <c r="BF20" s="30" t="str">
        <f t="shared" ref="BF20:BF83" si="93">IMPRODUCT(AC20,BC20)</f>
        <v>73,5413702021769+733,659444475318i</v>
      </c>
      <c r="BG20" s="68">
        <f t="shared" ref="BG20:BG83" si="94">20*LOG(IMABS(BF20))</f>
        <v>57.3533098639314</v>
      </c>
      <c r="BH20" s="31">
        <f t="shared" ref="BH20:BH83" si="95">(180/PI())*IMARGUMENT(BF20)</f>
        <v>84.2758427991387</v>
      </c>
      <c r="BI20" s="30" t="str">
        <f t="shared" ref="BI20:BI49" si="96">IMPRODUCT(AP20,BC20)</f>
        <v>424,868137497224+5842,17252896626i</v>
      </c>
      <c r="BJ20" s="68">
        <f t="shared" ref="BJ20:BJ83" si="97">20*LOG(IMABS(BI20))</f>
        <v>75.35439613347</v>
      </c>
      <c r="BK20" s="31">
        <f t="shared" ref="BK20:BK49" si="98">(180/PI())*IMARGUMENT(BI20)</f>
        <v>85.8405248925673</v>
      </c>
      <c r="BL20" s="32">
        <f t="shared" ref="BL20:BL83" si="99">IF($B$31=0,BJ20,BG20)</f>
        <v>57.3533098639314</v>
      </c>
      <c r="BM20" s="31">
        <f t="shared" ref="BM20:BM83" si="100">IF($B$31=0,BK20,BH20)</f>
        <v>84.2758427991387</v>
      </c>
      <c r="BO20">
        <f t="shared" ref="BO20:BO83" si="101">SUM((BL21&lt;0)*(BL20&gt;0))*O20</f>
        <v>0</v>
      </c>
      <c r="BP20">
        <f t="shared" ref="BP20:BP83" si="102">IF(BO20&gt;0,BM20,0)</f>
        <v>0</v>
      </c>
    </row>
    <row r="21" customFormat="1" spans="1:68">
      <c r="N21" s="7">
        <v>3</v>
      </c>
      <c r="O21" s="18">
        <f t="shared" si="62"/>
        <v>10.7151930523761</v>
      </c>
      <c r="P21" s="86" t="str">
        <f t="shared" si="50"/>
        <v>54,5454545454545</v>
      </c>
      <c r="Q21" s="4" t="str">
        <f t="shared" si="51"/>
        <v>1+0,137099288684211i</v>
      </c>
      <c r="R21" s="4">
        <f t="shared" si="63"/>
        <v>1.00935435549549</v>
      </c>
      <c r="S21" s="4">
        <f t="shared" si="64"/>
        <v>0.136249865301144</v>
      </c>
      <c r="T21" s="4" t="str">
        <f t="shared" si="52"/>
        <v>1+0,00105566452286843i</v>
      </c>
      <c r="U21" s="4">
        <f t="shared" si="65"/>
        <v>1.00000055721364</v>
      </c>
      <c r="V21" s="4">
        <f t="shared" si="66"/>
        <v>0.0010556641307148</v>
      </c>
      <c r="W21" t="str">
        <f t="shared" si="53"/>
        <v>1-0,00302964945976271i</v>
      </c>
      <c r="X21" s="4">
        <f t="shared" si="67"/>
        <v>1.00000458937739</v>
      </c>
      <c r="Y21" s="4">
        <f t="shared" si="68"/>
        <v>-0.00302964019032266</v>
      </c>
      <c r="Z21" t="str">
        <f t="shared" si="54"/>
        <v>0,999999999062732+0,00020919008174552i</v>
      </c>
      <c r="AA21" s="4">
        <f t="shared" si="69"/>
        <v>1.00000002094298</v>
      </c>
      <c r="AB21" s="4">
        <f t="shared" si="70"/>
        <v>0.000209190078890167</v>
      </c>
      <c r="AC21" s="67" t="str">
        <f t="shared" si="71"/>
        <v>53,5232436459765-7,45708093708401i</v>
      </c>
      <c r="AD21" s="68">
        <f t="shared" si="72"/>
        <v>34.6543425972368</v>
      </c>
      <c r="AE21" s="31">
        <f t="shared" si="73"/>
        <v>-7.93162844669335</v>
      </c>
      <c r="AF21" s="32" t="str">
        <f t="shared" si="74"/>
        <v>432,040091031901</v>
      </c>
      <c r="AG21" s="32" t="str">
        <f t="shared" si="55"/>
        <v>1+0,111710531520468i</v>
      </c>
      <c r="AH21" s="32">
        <f t="shared" si="75"/>
        <v>1.00622027551257</v>
      </c>
      <c r="AI21" s="32">
        <f t="shared" si="76"/>
        <v>0.11124929255667</v>
      </c>
      <c r="AJ21" s="32" t="str">
        <f t="shared" si="56"/>
        <v>1+0,00105566452286843i</v>
      </c>
      <c r="AK21" s="32">
        <f t="shared" si="77"/>
        <v>1.00000055721364</v>
      </c>
      <c r="AL21" s="32">
        <f t="shared" si="78"/>
        <v>0.0010556641307148</v>
      </c>
      <c r="AM21" s="32" t="str">
        <f t="shared" si="57"/>
        <v>1-0,000311656707234818i</v>
      </c>
      <c r="AN21" s="32">
        <f t="shared" si="79"/>
        <v>1.00000004856495</v>
      </c>
      <c r="AO21" s="32">
        <f t="shared" si="80"/>
        <v>-0.000311656697144423</v>
      </c>
      <c r="AP21" s="30" t="str">
        <f t="shared" si="81"/>
        <v>426,750616956525-47,3510970425063i</v>
      </c>
      <c r="AQ21" s="32">
        <f t="shared" si="82"/>
        <v>52.656624956234</v>
      </c>
      <c r="AR21" s="31">
        <f t="shared" si="83"/>
        <v>-6.3314864514434</v>
      </c>
      <c r="AS21" t="str">
        <f t="shared" si="58"/>
        <v>-0,000201496259351621</v>
      </c>
      <c r="AT21" t="str">
        <f t="shared" si="59"/>
        <v>0,0000151280496357484i</v>
      </c>
      <c r="AU21">
        <f t="shared" si="84"/>
        <v>1.51280496357484e-5</v>
      </c>
      <c r="AV21">
        <f t="shared" si="85"/>
        <v>1.5707963267949</v>
      </c>
      <c r="AW21" t="str">
        <f t="shared" si="60"/>
        <v>1+0,000774528393758255i</v>
      </c>
      <c r="AX21">
        <f t="shared" si="86"/>
        <v>1.00000029994707</v>
      </c>
      <c r="AY21">
        <f t="shared" si="87"/>
        <v>0.000774528238879939</v>
      </c>
      <c r="AZ21" t="str">
        <f t="shared" si="61"/>
        <v>1+0,0370290489526552i</v>
      </c>
      <c r="BA21">
        <f t="shared" si="88"/>
        <v>1.00068534038745</v>
      </c>
      <c r="BB21">
        <f t="shared" si="89"/>
        <v>0.0370121387297729</v>
      </c>
      <c r="BC21" s="30" t="str">
        <f t="shared" si="90"/>
        <v>-0,482887488525079+13,319755173091i</v>
      </c>
      <c r="BD21" s="32">
        <f t="shared" si="91"/>
        <v>22.4956290942938</v>
      </c>
      <c r="BE21" s="31">
        <f t="shared" si="92"/>
        <v>92.0762621407672</v>
      </c>
      <c r="BF21" s="30" t="str">
        <f t="shared" si="93"/>
        <v>73,4807876859615+716,517432519542i</v>
      </c>
      <c r="BG21" s="68">
        <f t="shared" si="94"/>
        <v>57.1499716915306</v>
      </c>
      <c r="BH21" s="31">
        <f t="shared" si="95"/>
        <v>84.1446336940738</v>
      </c>
      <c r="BI21" s="30" t="str">
        <f t="shared" si="96"/>
        <v>424,632486134793+5707,07899015621i</v>
      </c>
      <c r="BJ21" s="68">
        <f t="shared" si="97"/>
        <v>75.1522540505277</v>
      </c>
      <c r="BK21" s="31">
        <f t="shared" si="98"/>
        <v>85.7447756893238</v>
      </c>
      <c r="BL21" s="32">
        <f t="shared" si="99"/>
        <v>57.1499716915306</v>
      </c>
      <c r="BM21" s="31">
        <f t="shared" si="100"/>
        <v>84.1446336940738</v>
      </c>
      <c r="BO21">
        <f t="shared" si="101"/>
        <v>0</v>
      </c>
      <c r="BP21">
        <f t="shared" si="102"/>
        <v>0</v>
      </c>
    </row>
    <row r="22" spans="1:68">
      <c r="A22" t="s">
        <v>477</v>
      </c>
      <c r="N22" s="7">
        <v>4</v>
      </c>
      <c r="O22" s="18">
        <f t="shared" si="62"/>
        <v>10.9647819614319</v>
      </c>
      <c r="P22" s="86" t="str">
        <f t="shared" si="50"/>
        <v>54,5454545454545</v>
      </c>
      <c r="Q22" s="4" t="str">
        <f t="shared" si="51"/>
        <v>1+0,14029274135723i</v>
      </c>
      <c r="R22" s="4">
        <f t="shared" si="63"/>
        <v>1.00979307448483</v>
      </c>
      <c r="S22" s="4">
        <f t="shared" si="64"/>
        <v>0.139383043858143</v>
      </c>
      <c r="T22" s="4" t="str">
        <f t="shared" si="52"/>
        <v>1+0,00108025410845067i</v>
      </c>
      <c r="U22" s="4">
        <f t="shared" si="65"/>
        <v>1.0000005834743</v>
      </c>
      <c r="V22" s="4">
        <f t="shared" si="66"/>
        <v>0.0010802536882505</v>
      </c>
      <c r="W22" t="str">
        <f t="shared" si="53"/>
        <v>1-0,00310021906124235i</v>
      </c>
      <c r="X22" s="4">
        <f t="shared" si="67"/>
        <v>1.00000480566757</v>
      </c>
      <c r="Y22" s="4">
        <f t="shared" si="68"/>
        <v>-0.00310020912886097</v>
      </c>
      <c r="Z22" t="str">
        <f t="shared" si="54"/>
        <v>0,99999999901856+0,000214062744704829i</v>
      </c>
      <c r="AA22" s="4">
        <f t="shared" si="69"/>
        <v>1.00000002192999</v>
      </c>
      <c r="AB22" s="4">
        <f t="shared" si="70"/>
        <v>0.000214062741645263</v>
      </c>
      <c r="AC22" s="67" t="str">
        <f t="shared" si="71"/>
        <v>53,4759982173135-7,62415047659932i</v>
      </c>
      <c r="AD22" s="68">
        <f t="shared" si="72"/>
        <v>34.6505701669014</v>
      </c>
      <c r="AE22" s="31">
        <f t="shared" si="73"/>
        <v>-8.11405996195723</v>
      </c>
      <c r="AF22" s="32" t="str">
        <f t="shared" si="74"/>
        <v>432,040091031901</v>
      </c>
      <c r="AG22" s="32" t="str">
        <f t="shared" si="55"/>
        <v>1+0,114312604068854i</v>
      </c>
      <c r="AH22" s="32">
        <f t="shared" si="75"/>
        <v>1.00651247952969</v>
      </c>
      <c r="AI22" s="32">
        <f t="shared" si="76"/>
        <v>0.113818550160965</v>
      </c>
      <c r="AJ22" s="32" t="str">
        <f t="shared" si="56"/>
        <v>1+0,00108025410845067i</v>
      </c>
      <c r="AK22" s="32">
        <f t="shared" si="77"/>
        <v>1.0000005834743</v>
      </c>
      <c r="AL22" s="32">
        <f t="shared" si="78"/>
        <v>0.0010802536882505</v>
      </c>
      <c r="AM22" s="32" t="str">
        <f t="shared" si="57"/>
        <v>1-0,000318916124510684i</v>
      </c>
      <c r="AN22" s="32">
        <f t="shared" si="79"/>
        <v>1.00000005085375</v>
      </c>
      <c r="AO22" s="32">
        <f t="shared" si="80"/>
        <v>-0.000318916113698631</v>
      </c>
      <c r="AP22" s="30" t="str">
        <f t="shared" si="81"/>
        <v>426,504547208203-48,4259169066897i</v>
      </c>
      <c r="AQ22" s="32">
        <f t="shared" si="82"/>
        <v>52.6541032083268</v>
      </c>
      <c r="AR22" s="31">
        <f t="shared" si="83"/>
        <v>-6.47770112471478</v>
      </c>
      <c r="AS22" t="str">
        <f t="shared" si="58"/>
        <v>-0,000201496259351621</v>
      </c>
      <c r="AT22" t="str">
        <f t="shared" si="59"/>
        <v>0,0000154804271791368i</v>
      </c>
      <c r="AU22">
        <f t="shared" si="84"/>
        <v>1.54804271791368e-5</v>
      </c>
      <c r="AV22">
        <f t="shared" si="85"/>
        <v>1.5707963267949</v>
      </c>
      <c r="AW22" t="str">
        <f t="shared" si="60"/>
        <v>1+0,000792569477655292i</v>
      </c>
      <c r="AX22">
        <f t="shared" si="86"/>
        <v>1.00000031408314</v>
      </c>
      <c r="AY22">
        <f t="shared" si="87"/>
        <v>0.000792569311700189</v>
      </c>
      <c r="AZ22" t="str">
        <f t="shared" si="61"/>
        <v>1+0,0378915663040731i</v>
      </c>
      <c r="BA22">
        <f t="shared" si="88"/>
        <v>1.00071762790358</v>
      </c>
      <c r="BB22">
        <f t="shared" si="89"/>
        <v>0.0378734473755072</v>
      </c>
      <c r="BC22" s="30" t="str">
        <f t="shared" si="90"/>
        <v>-0,482887474872821+13,0165777544747i</v>
      </c>
      <c r="BD22" s="32">
        <f t="shared" si="91"/>
        <v>22.295909220721</v>
      </c>
      <c r="BE22" s="31">
        <f t="shared" si="92"/>
        <v>92.1245778136954</v>
      </c>
      <c r="BF22" s="30" t="str">
        <f t="shared" si="93"/>
        <v>73,4174577450084+699,756095565507i</v>
      </c>
      <c r="BG22" s="68">
        <f t="shared" si="94"/>
        <v>56.9464793876224</v>
      </c>
      <c r="BH22" s="31">
        <f t="shared" si="95"/>
        <v>84.0105178517381</v>
      </c>
      <c r="BI22" s="30" t="str">
        <f t="shared" si="96"/>
        <v>424,386008924512+5575,01387010607i</v>
      </c>
      <c r="BJ22" s="68">
        <f t="shared" si="97"/>
        <v>74.9500124290478</v>
      </c>
      <c r="BK22" s="31">
        <f t="shared" si="98"/>
        <v>85.6468766889806</v>
      </c>
      <c r="BL22" s="32">
        <f t="shared" si="99"/>
        <v>56.9464793876224</v>
      </c>
      <c r="BM22" s="31">
        <f t="shared" si="100"/>
        <v>84.0105178517381</v>
      </c>
      <c r="BO22">
        <f t="shared" si="101"/>
        <v>0</v>
      </c>
      <c r="BP22">
        <f t="shared" si="102"/>
        <v>0</v>
      </c>
    </row>
    <row r="23" spans="1:68">
      <c r="A23" t="s">
        <v>478</v>
      </c>
      <c r="B23" s="85">
        <f>Lm</f>
        <v>1e-5</v>
      </c>
      <c r="C23" t="s">
        <v>139</v>
      </c>
      <c r="E23" t="s">
        <v>479</v>
      </c>
      <c r="N23" s="7">
        <v>5</v>
      </c>
      <c r="O23" s="18">
        <f t="shared" si="62"/>
        <v>11.2201845430196</v>
      </c>
      <c r="P23" s="86" t="str">
        <f t="shared" si="50"/>
        <v>54,5454545454545</v>
      </c>
      <c r="Q23" s="4" t="str">
        <f t="shared" si="51"/>
        <v>1+0,143560579098708i</v>
      </c>
      <c r="R23" s="4">
        <f t="shared" si="63"/>
        <v>1.01025226546203</v>
      </c>
      <c r="S23" s="4">
        <f t="shared" si="64"/>
        <v>0.14258635412876</v>
      </c>
      <c r="T23" s="4" t="str">
        <f t="shared" si="52"/>
        <v>1+0,00110541645906006i</v>
      </c>
      <c r="U23" s="4">
        <f t="shared" si="65"/>
        <v>1.00000061097259</v>
      </c>
      <c r="V23" s="4">
        <f t="shared" si="66"/>
        <v>0.00110541600880748</v>
      </c>
      <c r="W23" t="str">
        <f t="shared" si="53"/>
        <v>1-0,0031724324399045i</v>
      </c>
      <c r="X23" s="4">
        <f t="shared" si="67"/>
        <v>1.00000503215113</v>
      </c>
      <c r="Y23" s="4">
        <f t="shared" si="68"/>
        <v>-0.00317242179716899</v>
      </c>
      <c r="Z23" t="str">
        <f t="shared" si="54"/>
        <v>0,999999998972306+0,000219048906564834i</v>
      </c>
      <c r="AA23" s="4">
        <f t="shared" si="69"/>
        <v>1.00000002296352</v>
      </c>
      <c r="AB23" s="4">
        <f t="shared" si="70"/>
        <v>0.00021904890328645</v>
      </c>
      <c r="AC23" s="67" t="str">
        <f t="shared" si="71"/>
        <v>53,4266140823677-7,79465014140967i</v>
      </c>
      <c r="AD23" s="68">
        <f t="shared" si="72"/>
        <v>34.6466234603115</v>
      </c>
      <c r="AE23" s="31">
        <f t="shared" si="73"/>
        <v>-8.30057759330317</v>
      </c>
      <c r="AF23" s="32" t="str">
        <f t="shared" si="74"/>
        <v>432,040091031901</v>
      </c>
      <c r="AG23" s="32" t="str">
        <f t="shared" si="55"/>
        <v>1+0,116975286673022i</v>
      </c>
      <c r="AH23" s="32">
        <f t="shared" si="75"/>
        <v>1.00681836380364</v>
      </c>
      <c r="AI23" s="32">
        <f t="shared" si="76"/>
        <v>0.116446091808377</v>
      </c>
      <c r="AJ23" s="32" t="str">
        <f t="shared" si="56"/>
        <v>1+0,00110541645906006i</v>
      </c>
      <c r="AK23" s="32">
        <f t="shared" si="77"/>
        <v>1.00000061097259</v>
      </c>
      <c r="AL23" s="32">
        <f t="shared" si="78"/>
        <v>0.00110541600880748</v>
      </c>
      <c r="AM23" s="32" t="str">
        <f t="shared" si="57"/>
        <v>1-0,000326344635337117i</v>
      </c>
      <c r="AN23" s="32">
        <f t="shared" si="79"/>
        <v>1.00000005325041</v>
      </c>
      <c r="AO23" s="32">
        <f t="shared" si="80"/>
        <v>-0.000326344623751794</v>
      </c>
      <c r="AP23" s="30" t="str">
        <f t="shared" si="81"/>
        <v>426,247186586532-49,5237965828871i</v>
      </c>
      <c r="AQ23" s="32">
        <f t="shared" si="82"/>
        <v>52.6514641828731</v>
      </c>
      <c r="AR23" s="31">
        <f t="shared" si="83"/>
        <v>-6.6272320991098</v>
      </c>
      <c r="AS23" t="str">
        <f t="shared" si="58"/>
        <v>-0,000201496259351621</v>
      </c>
      <c r="AT23" t="str">
        <f t="shared" si="59"/>
        <v>0,0000158410126499231i</v>
      </c>
      <c r="AU23">
        <f t="shared" si="84"/>
        <v>1.58410126499231e-5</v>
      </c>
      <c r="AV23">
        <f t="shared" si="85"/>
        <v>1.5707963267949</v>
      </c>
      <c r="AW23" t="str">
        <f t="shared" si="60"/>
        <v>1+0,000811030792380272i</v>
      </c>
      <c r="AX23">
        <f t="shared" si="86"/>
        <v>1.00000032888542</v>
      </c>
      <c r="AY23">
        <f t="shared" si="87"/>
        <v>0.000811030614556178</v>
      </c>
      <c r="AZ23" t="str">
        <f t="shared" si="61"/>
        <v>1+0,0387741742654993i</v>
      </c>
      <c r="BA23">
        <f t="shared" si="88"/>
        <v>1.00075143596698</v>
      </c>
      <c r="BB23">
        <f t="shared" si="89"/>
        <v>0.0387547602710061</v>
      </c>
      <c r="BC23" s="30" t="str">
        <f t="shared" si="90"/>
        <v>-0,482887460577155+12,7203018976776i</v>
      </c>
      <c r="BD23" s="32">
        <f t="shared" si="91"/>
        <v>22.0962025297184</v>
      </c>
      <c r="BE23" s="31">
        <f t="shared" si="92"/>
        <v>92.1740155683</v>
      </c>
      <c r="BF23" s="30" t="str">
        <f t="shared" si="93"/>
        <v>73,3512609840362+683,366599311303i</v>
      </c>
      <c r="BG23" s="68">
        <f t="shared" si="94"/>
        <v>56.7428259900299</v>
      </c>
      <c r="BH23" s="31">
        <f t="shared" si="95"/>
        <v>83.8734379749968</v>
      </c>
      <c r="BI23" s="30" t="str">
        <f t="shared" si="96"/>
        <v>424,128222144571+5445,90731678645i</v>
      </c>
      <c r="BJ23" s="68">
        <f t="shared" si="97"/>
        <v>74.7476667125915</v>
      </c>
      <c r="BK23" s="31">
        <f t="shared" si="98"/>
        <v>85.5467834691902</v>
      </c>
      <c r="BL23" s="32">
        <f t="shared" si="99"/>
        <v>56.7428259900299</v>
      </c>
      <c r="BM23" s="31">
        <f t="shared" si="100"/>
        <v>83.8734379749968</v>
      </c>
      <c r="BO23">
        <f t="shared" si="101"/>
        <v>0</v>
      </c>
      <c r="BP23">
        <f t="shared" si="102"/>
        <v>0</v>
      </c>
    </row>
    <row r="24" spans="1:68">
      <c r="N24" s="7">
        <v>6</v>
      </c>
      <c r="O24" s="18">
        <f t="shared" si="62"/>
        <v>11.4815362149688</v>
      </c>
      <c r="P24" s="86" t="str">
        <f t="shared" si="50"/>
        <v>54,5454545454545</v>
      </c>
      <c r="Q24" s="4" t="str">
        <f t="shared" si="51"/>
        <v>1+0,146904534559475i</v>
      </c>
      <c r="R24" s="4">
        <f t="shared" si="63"/>
        <v>1.01073287384656</v>
      </c>
      <c r="S24" s="4">
        <f t="shared" si="64"/>
        <v>0.145861231454563</v>
      </c>
      <c r="T24" s="4" t="str">
        <f t="shared" si="52"/>
        <v>1+0,00113116491610796i</v>
      </c>
      <c r="U24" s="4">
        <f t="shared" si="65"/>
        <v>1.00000063976683</v>
      </c>
      <c r="V24" s="4">
        <f t="shared" si="66"/>
        <v>0.00113116443365365</v>
      </c>
      <c r="W24" t="str">
        <f t="shared" si="53"/>
        <v>1-0,00324632788423841i</v>
      </c>
      <c r="X24" s="4">
        <f t="shared" si="67"/>
        <v>1.00000526930848</v>
      </c>
      <c r="Y24" s="4">
        <f t="shared" si="68"/>
        <v>-0.0032463164803451</v>
      </c>
      <c r="Z24" t="str">
        <f t="shared" si="54"/>
        <v>0,999999998923872+0,000224151211054557i</v>
      </c>
      <c r="AA24" s="4">
        <f t="shared" si="69"/>
        <v>1.00000002404575</v>
      </c>
      <c r="AB24" s="4">
        <f t="shared" si="70"/>
        <v>0.000224151207541706</v>
      </c>
      <c r="AC24" s="67" t="str">
        <f t="shared" si="71"/>
        <v>53,3749986649302-7,9686283298489i</v>
      </c>
      <c r="AD24" s="68">
        <f t="shared" si="72"/>
        <v>34.6424945959966</v>
      </c>
      <c r="AE24" s="31">
        <f t="shared" si="73"/>
        <v>-8.49126516039606</v>
      </c>
      <c r="AF24" s="32" t="str">
        <f t="shared" si="74"/>
        <v>432,040091031901</v>
      </c>
      <c r="AG24" s="32" t="str">
        <f t="shared" si="55"/>
        <v>1+0,119699991122535i</v>
      </c>
      <c r="AH24" s="32">
        <f t="shared" si="75"/>
        <v>1.00713856438662</v>
      </c>
      <c r="AI24" s="32">
        <f t="shared" si="76"/>
        <v>0.119133165454051</v>
      </c>
      <c r="AJ24" s="32" t="str">
        <f t="shared" si="56"/>
        <v>1+0,00113116491610796i</v>
      </c>
      <c r="AK24" s="32">
        <f t="shared" si="77"/>
        <v>1.00000063976683</v>
      </c>
      <c r="AL24" s="32">
        <f t="shared" si="78"/>
        <v>0.00113116443365365</v>
      </c>
      <c r="AM24" s="32" t="str">
        <f t="shared" si="57"/>
        <v>1-0,00033394617840889i</v>
      </c>
      <c r="AN24" s="32">
        <f t="shared" si="79"/>
        <v>1.00000005576002</v>
      </c>
      <c r="AO24" s="32">
        <f t="shared" si="80"/>
        <v>-0.000333946165994993</v>
      </c>
      <c r="AP24" s="30" t="str">
        <f t="shared" si="81"/>
        <v>425,978031883264-50,6451361788138i</v>
      </c>
      <c r="AQ24" s="32">
        <f t="shared" si="82"/>
        <v>52.6487025020138</v>
      </c>
      <c r="AR24" s="31">
        <f t="shared" si="83"/>
        <v>-6.78015033846332</v>
      </c>
      <c r="AS24" t="str">
        <f t="shared" si="58"/>
        <v>-0,000201496259351621</v>
      </c>
      <c r="AT24" t="str">
        <f t="shared" si="59"/>
        <v>0,0000162099972352971i</v>
      </c>
      <c r="AU24">
        <f t="shared" si="84"/>
        <v>1.62099972352971e-5</v>
      </c>
      <c r="AV24">
        <f t="shared" si="85"/>
        <v>1.5707963267949</v>
      </c>
      <c r="AW24" t="str">
        <f t="shared" si="60"/>
        <v>1+0,00082992212636664i</v>
      </c>
      <c r="AX24">
        <f t="shared" si="86"/>
        <v>1.00000034438531</v>
      </c>
      <c r="AY24">
        <f t="shared" si="87"/>
        <v>0.000829921935824694</v>
      </c>
      <c r="AZ24" t="str">
        <f t="shared" si="61"/>
        <v>1+0,0396773408073582i</v>
      </c>
      <c r="BA24">
        <f t="shared" si="88"/>
        <v>1.00078683613122</v>
      </c>
      <c r="BB24">
        <f t="shared" si="89"/>
        <v>0.0396565392206949</v>
      </c>
      <c r="BC24" s="30" t="str">
        <f t="shared" si="90"/>
        <v>-0,482887445607756+12,4307705133187i</v>
      </c>
      <c r="BD24" s="32">
        <f t="shared" si="91"/>
        <v>21.8965096406943</v>
      </c>
      <c r="BE24" s="31">
        <f t="shared" si="92"/>
        <v>92.2246013031928</v>
      </c>
      <c r="BF24" s="30" t="str">
        <f t="shared" si="93"/>
        <v>73,2820733096562+667,340310131638i</v>
      </c>
      <c r="BG24" s="68">
        <f t="shared" si="94"/>
        <v>56.5390042366909</v>
      </c>
      <c r="BH24" s="31">
        <f t="shared" si="95"/>
        <v>83.7333361427967</v>
      </c>
      <c r="BI24" s="30" t="str">
        <f t="shared" si="96"/>
        <v>423,85862175348+5319,69105849786i</v>
      </c>
      <c r="BJ24" s="68">
        <f t="shared" si="97"/>
        <v>74.545212142708</v>
      </c>
      <c r="BK24" s="31">
        <f t="shared" si="98"/>
        <v>85.4444509647294</v>
      </c>
      <c r="BL24" s="32">
        <f t="shared" si="99"/>
        <v>56.5390042366909</v>
      </c>
      <c r="BM24" s="31">
        <f t="shared" si="100"/>
        <v>83.7333361427967</v>
      </c>
      <c r="BO24">
        <f t="shared" si="101"/>
        <v>0</v>
      </c>
      <c r="BP24">
        <f t="shared" si="102"/>
        <v>0</v>
      </c>
    </row>
    <row r="25" spans="1:68">
      <c r="A25" t="s">
        <v>239</v>
      </c>
      <c r="B25" s="85">
        <f>R_cs</f>
        <v>0.01</v>
      </c>
      <c r="C25" s="16" t="s">
        <v>35</v>
      </c>
      <c r="E25" t="s">
        <v>480</v>
      </c>
      <c r="N25" s="7">
        <v>7</v>
      </c>
      <c r="O25" s="18">
        <f t="shared" si="62"/>
        <v>11.7489755493953</v>
      </c>
      <c r="P25" s="86" t="str">
        <f t="shared" si="50"/>
        <v>54,5454545454545</v>
      </c>
      <c r="Q25" s="4" t="str">
        <f t="shared" si="51"/>
        <v>1+0,150326380748977i</v>
      </c>
      <c r="R25" s="4">
        <f t="shared" si="63"/>
        <v>1.01123588778736</v>
      </c>
      <c r="S25" s="4">
        <f t="shared" si="64"/>
        <v>0.149209131092716</v>
      </c>
      <c r="T25" s="4" t="str">
        <f t="shared" si="52"/>
        <v>1+0,00115751313176713i</v>
      </c>
      <c r="U25" s="4">
        <f t="shared" si="65"/>
        <v>1.0000006699181</v>
      </c>
      <c r="V25" s="4">
        <f t="shared" si="66"/>
        <v>0.00115751261480804</v>
      </c>
      <c r="W25" t="str">
        <f t="shared" si="53"/>
        <v>1-0,00332194457458678i</v>
      </c>
      <c r="X25" s="4">
        <f t="shared" si="67"/>
        <v>1.00000551764266</v>
      </c>
      <c r="Y25" s="4">
        <f t="shared" si="68"/>
        <v>-0.00332193235509859</v>
      </c>
      <c r="Z25" t="str">
        <f t="shared" si="54"/>
        <v>0,999999998873156+0,000229372363483373i</v>
      </c>
      <c r="AA25" s="4">
        <f t="shared" si="69"/>
        <v>1.000000025179</v>
      </c>
      <c r="AB25" s="4">
        <f t="shared" si="70"/>
        <v>0.000229372359719285</v>
      </c>
      <c r="AC25" s="67" t="str">
        <f t="shared" si="71"/>
        <v>53,3210557808564-8,14613249135764i</v>
      </c>
      <c r="AD25" s="68">
        <f t="shared" si="72"/>
        <v>34.6381753520513</v>
      </c>
      <c r="AE25" s="31">
        <f t="shared" si="73"/>
        <v>-8.68620766078921</v>
      </c>
      <c r="AF25" s="32" t="str">
        <f t="shared" si="74"/>
        <v>432,040091031901</v>
      </c>
      <c r="AG25" s="32" t="str">
        <f t="shared" si="55"/>
        <v>1+0,122488162091759i</v>
      </c>
      <c r="AH25" s="32">
        <f t="shared" si="75"/>
        <v>1.00747374648306</v>
      </c>
      <c r="AI25" s="32">
        <f t="shared" si="76"/>
        <v>0.121881040523228</v>
      </c>
      <c r="AJ25" s="32" t="str">
        <f t="shared" si="56"/>
        <v>1+0,00115751313176713i</v>
      </c>
      <c r="AK25" s="32">
        <f t="shared" si="77"/>
        <v>1.0000006699181</v>
      </c>
      <c r="AL25" s="32">
        <f t="shared" si="78"/>
        <v>0.00115751261480804</v>
      </c>
      <c r="AM25" s="32" t="str">
        <f t="shared" si="57"/>
        <v>1-0,000341724784164757i</v>
      </c>
      <c r="AN25" s="32">
        <f t="shared" si="79"/>
        <v>1.00000005838791</v>
      </c>
      <c r="AO25" s="32">
        <f t="shared" si="80"/>
        <v>-0.000341724770863026</v>
      </c>
      <c r="AP25" s="30" t="str">
        <f t="shared" si="81"/>
        <v>425,696558875402-51,7903358334734i</v>
      </c>
      <c r="AQ25" s="32">
        <f t="shared" si="82"/>
        <v>52.645812548534</v>
      </c>
      <c r="AR25" s="31">
        <f t="shared" si="83"/>
        <v>-6.93652802420778</v>
      </c>
      <c r="AS25" t="str">
        <f t="shared" si="58"/>
        <v>-0,000201496259351621</v>
      </c>
      <c r="AT25" t="str">
        <f t="shared" si="59"/>
        <v>0,00001658757657577i</v>
      </c>
      <c r="AU25">
        <f t="shared" si="84"/>
        <v>1.658757657577e-5</v>
      </c>
      <c r="AV25">
        <f t="shared" si="85"/>
        <v>1.5707963267949</v>
      </c>
      <c r="AW25" t="str">
        <f t="shared" si="60"/>
        <v>1+0,000849253496049727i</v>
      </c>
      <c r="AX25">
        <f t="shared" si="86"/>
        <v>1.00000036061569</v>
      </c>
      <c r="AY25">
        <f t="shared" si="87"/>
        <v>0.000849253291880358</v>
      </c>
      <c r="AZ25" t="str">
        <f t="shared" si="61"/>
        <v>1+0,040601544800505i</v>
      </c>
      <c r="BA25">
        <f t="shared" si="88"/>
        <v>1.00082390331176</v>
      </c>
      <c r="BB25">
        <f t="shared" si="89"/>
        <v>0.0405792564897111</v>
      </c>
      <c r="BC25" s="30" t="str">
        <f t="shared" si="90"/>
        <v>-0,48288742993287+12,1478300880253i</v>
      </c>
      <c r="BD25" s="32">
        <f t="shared" si="91"/>
        <v>21.696831202069</v>
      </c>
      <c r="BE25" s="31">
        <f t="shared" si="92"/>
        <v>92.276361503277</v>
      </c>
      <c r="BF25" s="30" t="str">
        <f t="shared" si="93"/>
        <v>73,2097657922299+651,668790722607i</v>
      </c>
      <c r="BG25" s="68">
        <f t="shared" si="94"/>
        <v>56.3350065541203</v>
      </c>
      <c r="BH25" s="31">
        <f t="shared" si="95"/>
        <v>83.5901538424878</v>
      </c>
      <c r="BI25" s="30" t="str">
        <f t="shared" si="96"/>
        <v>423,576682660193+5196,29836844143i</v>
      </c>
      <c r="BJ25" s="68">
        <f t="shared" si="97"/>
        <v>74.342643750603</v>
      </c>
      <c r="BK25" s="31">
        <f t="shared" si="98"/>
        <v>85.3398334790692</v>
      </c>
      <c r="BL25" s="32">
        <f t="shared" si="99"/>
        <v>56.3350065541203</v>
      </c>
      <c r="BM25" s="31">
        <f t="shared" si="100"/>
        <v>83.5901538424878</v>
      </c>
      <c r="BO25">
        <f t="shared" si="101"/>
        <v>0</v>
      </c>
      <c r="BP25">
        <f t="shared" si="102"/>
        <v>0</v>
      </c>
    </row>
    <row r="26" customFormat="1" spans="1:68">
      <c r="A26" t="s">
        <v>241</v>
      </c>
      <c r="B26" s="85">
        <f>R_sl</f>
        <v>0</v>
      </c>
      <c r="C26" s="16" t="s">
        <v>35</v>
      </c>
      <c r="E26" t="s">
        <v>481</v>
      </c>
      <c r="N26" s="7">
        <v>8</v>
      </c>
      <c r="O26" s="18">
        <f t="shared" si="62"/>
        <v>12.0226443461741</v>
      </c>
      <c r="P26" s="86" t="str">
        <f t="shared" si="50"/>
        <v>54,5454545454545</v>
      </c>
      <c r="Q26" s="4" t="str">
        <f t="shared" si="51"/>
        <v>1+0,153827931975356i</v>
      </c>
      <c r="R26" s="4">
        <f t="shared" si="63"/>
        <v>1.01176234000669</v>
      </c>
      <c r="S26" s="4">
        <f t="shared" si="64"/>
        <v>0.152631527790653</v>
      </c>
      <c r="T26" s="4" t="str">
        <f t="shared" si="52"/>
        <v>1+0,00118447507621024i</v>
      </c>
      <c r="U26" s="4">
        <f t="shared" si="65"/>
        <v>1.00000070149036</v>
      </c>
      <c r="V26" s="4">
        <f t="shared" si="66"/>
        <v>0.00118447452227862</v>
      </c>
      <c r="W26" t="str">
        <f t="shared" si="53"/>
        <v>1-0,00339932260391971i</v>
      </c>
      <c r="X26" s="4">
        <f t="shared" si="67"/>
        <v>1.00000577768039</v>
      </c>
      <c r="Y26" s="4">
        <f t="shared" si="68"/>
        <v>-0.00339930951050629</v>
      </c>
      <c r="Z26" t="str">
        <f t="shared" si="54"/>
        <v>0,999999998820049+0,000234715132175408i</v>
      </c>
      <c r="AA26" s="4">
        <f t="shared" si="69"/>
        <v>1.00000002636565</v>
      </c>
      <c r="AB26" s="4">
        <f t="shared" si="70"/>
        <v>0.000234715128142115</v>
      </c>
      <c r="AC26" s="67" t="str">
        <f t="shared" si="71"/>
        <v>53,2646855354948-8,32720897632444i</v>
      </c>
      <c r="AD26" s="68">
        <f t="shared" si="72"/>
        <v>34.633657152937</v>
      </c>
      <c r="AE26" s="31">
        <f t="shared" si="73"/>
        <v>-8.88549124641194</v>
      </c>
      <c r="AF26" s="32" t="str">
        <f t="shared" si="74"/>
        <v>432,040091031901</v>
      </c>
      <c r="AG26" s="32" t="str">
        <f t="shared" si="55"/>
        <v>1+0,125341277905846i</v>
      </c>
      <c r="AH26" s="32">
        <f t="shared" si="75"/>
        <v>1.007824605746</v>
      </c>
      <c r="AI26" s="32">
        <f t="shared" si="76"/>
        <v>0.124691007896926</v>
      </c>
      <c r="AJ26" s="32" t="str">
        <f t="shared" si="56"/>
        <v>1+0,00118447507621024i</v>
      </c>
      <c r="AK26" s="32">
        <f t="shared" si="77"/>
        <v>1.00000070149036</v>
      </c>
      <c r="AL26" s="32">
        <f t="shared" si="78"/>
        <v>0.00118447452227862</v>
      </c>
      <c r="AM26" s="32" t="str">
        <f t="shared" si="57"/>
        <v>1-0,000349684576924447i</v>
      </c>
      <c r="AN26" s="32">
        <f t="shared" si="79"/>
        <v>1.00000006113965</v>
      </c>
      <c r="AO26" s="32">
        <f t="shared" si="80"/>
        <v>-0.000349684562671386</v>
      </c>
      <c r="AP26" s="30" t="str">
        <f t="shared" si="81"/>
        <v>425,402221582538-52,9597951138372i</v>
      </c>
      <c r="AQ26" s="32">
        <f t="shared" si="82"/>
        <v>52.6427884558988</v>
      </c>
      <c r="AR26" s="31">
        <f t="shared" si="83"/>
        <v>-7.09643855426087</v>
      </c>
      <c r="AS26" t="str">
        <f t="shared" si="58"/>
        <v>-0,000201496259351621</v>
      </c>
      <c r="AT26" t="str">
        <f t="shared" si="59"/>
        <v>0,0000169739508689057i</v>
      </c>
      <c r="AU26">
        <f t="shared" si="84"/>
        <v>1.69739508689057e-5</v>
      </c>
      <c r="AV26">
        <f t="shared" si="85"/>
        <v>1.5707963267949</v>
      </c>
      <c r="AW26" t="str">
        <f t="shared" si="60"/>
        <v>1+0,000869035151177614i</v>
      </c>
      <c r="AX26">
        <f t="shared" si="86"/>
        <v>1.00000037761098</v>
      </c>
      <c r="AY26">
        <f t="shared" si="87"/>
        <v>0.000869034932406198</v>
      </c>
      <c r="AZ26" t="str">
        <f t="shared" si="61"/>
        <v>1+0,0415472762701297i</v>
      </c>
      <c r="BA26">
        <f t="shared" si="88"/>
        <v>1.00086271594333</v>
      </c>
      <c r="BB26">
        <f t="shared" si="89"/>
        <v>0.0415233950265155</v>
      </c>
      <c r="BC26" s="30" t="str">
        <f t="shared" si="90"/>
        <v>-0,482887413519255+11,8713306030391i</v>
      </c>
      <c r="BD26" s="32">
        <f t="shared" si="91"/>
        <v>21.4971678926255</v>
      </c>
      <c r="BE26" s="31">
        <f t="shared" si="92"/>
        <v>92.3293232521975</v>
      </c>
      <c r="BF26" s="30" t="str">
        <f t="shared" si="93"/>
        <v>73,1342045283907+636,343795863185i</v>
      </c>
      <c r="BG26" s="68">
        <f t="shared" si="94"/>
        <v>56.1308250455625</v>
      </c>
      <c r="BH26" s="31">
        <f t="shared" si="95"/>
        <v>83.4438320057856</v>
      </c>
      <c r="BI26" s="30" t="str">
        <f t="shared" si="96"/>
        <v>423,281857980239+5075,66403015663i</v>
      </c>
      <c r="BJ26" s="68">
        <f t="shared" si="97"/>
        <v>74.1399563485243</v>
      </c>
      <c r="BK26" s="31">
        <f t="shared" si="98"/>
        <v>85.2328846979367</v>
      </c>
      <c r="BL26" s="32">
        <f t="shared" si="99"/>
        <v>56.1308250455625</v>
      </c>
      <c r="BM26" s="31">
        <f t="shared" si="100"/>
        <v>83.4438320057856</v>
      </c>
      <c r="BO26">
        <f t="shared" si="101"/>
        <v>0</v>
      </c>
      <c r="BP26">
        <f t="shared" si="102"/>
        <v>0</v>
      </c>
    </row>
    <row r="27" customFormat="1" spans="1:68">
      <c r="A27" t="s">
        <v>482</v>
      </c>
      <c r="B27" s="10">
        <f>Rsl_int</f>
        <v>2000</v>
      </c>
      <c r="C27" s="16" t="s">
        <v>35</v>
      </c>
      <c r="E27" t="s">
        <v>483</v>
      </c>
      <c r="N27" s="7">
        <v>9</v>
      </c>
      <c r="O27" s="18">
        <f t="shared" si="62"/>
        <v>12.3026877081238</v>
      </c>
      <c r="P27" s="86" t="str">
        <f t="shared" si="50"/>
        <v>54,5454545454545</v>
      </c>
      <c r="Q27" s="4" t="str">
        <f t="shared" si="51"/>
        <v>1+0,157411044807423i</v>
      </c>
      <c r="R27" s="4">
        <f t="shared" si="63"/>
        <v>1.01231330971561</v>
      </c>
      <c r="S27" s="4">
        <f t="shared" si="64"/>
        <v>0.156129915296206</v>
      </c>
      <c r="T27" s="4" t="str">
        <f t="shared" si="52"/>
        <v>1+0,00121206504501716i</v>
      </c>
      <c r="U27" s="4">
        <f t="shared" si="65"/>
        <v>1.00000073455057</v>
      </c>
      <c r="V27" s="4">
        <f t="shared" si="66"/>
        <v>0.00121206445146875</v>
      </c>
      <c r="W27" t="str">
        <f t="shared" si="53"/>
        <v>1-0,00347850299909261i</v>
      </c>
      <c r="X27" s="4">
        <f t="shared" si="67"/>
        <v>1.00000604997326</v>
      </c>
      <c r="Y27" s="4">
        <f t="shared" si="68"/>
        <v>-0.00347848896925195</v>
      </c>
      <c r="Z27" t="str">
        <f t="shared" si="54"/>
        <v>0,99999999876444+0,000240182349937347i</v>
      </c>
      <c r="AA27" s="4">
        <f t="shared" si="69"/>
        <v>1.00000002760822</v>
      </c>
      <c r="AB27" s="4">
        <f t="shared" si="70"/>
        <v>0.000240182345615595</v>
      </c>
      <c r="AC27" s="67" t="str">
        <f t="shared" si="71"/>
        <v>53,2057842220357-8,51190287557746i</v>
      </c>
      <c r="AD27" s="68">
        <f t="shared" si="72"/>
        <v>34.6289310559149</v>
      </c>
      <c r="AE27" s="31">
        <f t="shared" si="73"/>
        <v>-9.08920319637891</v>
      </c>
      <c r="AF27" s="32" t="str">
        <f t="shared" si="74"/>
        <v>432,040091031901</v>
      </c>
      <c r="AG27" s="32" t="str">
        <f t="shared" si="55"/>
        <v>1+0,128260851324567i</v>
      </c>
      <c r="AH27" s="32">
        <f t="shared" si="75"/>
        <v>1.00819186962726</v>
      </c>
      <c r="AI27" s="32">
        <f t="shared" si="76"/>
        <v>0.127564379863937</v>
      </c>
      <c r="AJ27" s="32" t="str">
        <f t="shared" si="56"/>
        <v>1+0,00121206504501716i</v>
      </c>
      <c r="AK27" s="32">
        <f t="shared" si="77"/>
        <v>1.00000073455057</v>
      </c>
      <c r="AL27" s="32">
        <f t="shared" si="78"/>
        <v>0.00121206445146875</v>
      </c>
      <c r="AM27" s="32" t="str">
        <f t="shared" si="57"/>
        <v>1-0,000357829777075448i</v>
      </c>
      <c r="AN27" s="32">
        <f t="shared" si="79"/>
        <v>1.00000006402107</v>
      </c>
      <c r="AO27" s="32">
        <f t="shared" si="80"/>
        <v>-0.000357829761803018</v>
      </c>
      <c r="AP27" s="30" t="str">
        <f t="shared" si="81"/>
        <v>425,094451511279-54,1539123612623i</v>
      </c>
      <c r="AQ27" s="32">
        <f t="shared" si="82"/>
        <v>52.6396240979384</v>
      </c>
      <c r="AR27" s="31">
        <f t="shared" si="83"/>
        <v>-7.25995653997573</v>
      </c>
      <c r="AS27" t="str">
        <f t="shared" si="58"/>
        <v>-0,000201496259351621</v>
      </c>
      <c r="AT27" t="str">
        <f t="shared" si="59"/>
        <v>0,0000173693249754691i</v>
      </c>
      <c r="AU27">
        <f t="shared" si="84"/>
        <v>1.73693249754691e-5</v>
      </c>
      <c r="AV27">
        <f t="shared" si="85"/>
        <v>1.5707963267949</v>
      </c>
      <c r="AW27" t="str">
        <f t="shared" si="60"/>
        <v>1+0,0008892775802457i</v>
      </c>
      <c r="AX27">
        <f t="shared" si="86"/>
        <v>1.00000039540723</v>
      </c>
      <c r="AY27">
        <f t="shared" si="87"/>
        <v>0.000889277345827909</v>
      </c>
      <c r="AZ27" t="str">
        <f t="shared" si="61"/>
        <v>1+0,0425150366555763i</v>
      </c>
      <c r="BA27">
        <f t="shared" si="88"/>
        <v>1.00090335614475</v>
      </c>
      <c r="BB27">
        <f t="shared" si="89"/>
        <v>0.0424894486891975</v>
      </c>
      <c r="BC27" s="30" t="str">
        <f t="shared" si="90"/>
        <v>-0,482887396332088+11,6011254546728i</v>
      </c>
      <c r="BD27" s="32">
        <f t="shared" si="91"/>
        <v>21.2975204229202</v>
      </c>
      <c r="BE27" s="31">
        <f t="shared" si="92"/>
        <v>92.3835142449961</v>
      </c>
      <c r="BF27" s="30" t="str">
        <f t="shared" si="93"/>
        <v>73,0552505047786+621,357268291506i</v>
      </c>
      <c r="BG27" s="68">
        <f t="shared" si="94"/>
        <v>55.9264514788351</v>
      </c>
      <c r="BH27" s="31">
        <f t="shared" si="95"/>
        <v>83.2943110486172</v>
      </c>
      <c r="BI27" s="30" t="str">
        <f t="shared" si="96"/>
        <v>422,973578278862+4957,724303809i</v>
      </c>
      <c r="BJ27" s="68">
        <f t="shared" si="97"/>
        <v>73.9371445208586</v>
      </c>
      <c r="BK27" s="31">
        <f t="shared" si="98"/>
        <v>85.1235577050204</v>
      </c>
      <c r="BL27" s="32">
        <f t="shared" si="99"/>
        <v>55.9264514788351</v>
      </c>
      <c r="BM27" s="31">
        <f t="shared" si="100"/>
        <v>83.2943110486172</v>
      </c>
      <c r="BO27">
        <f t="shared" si="101"/>
        <v>0</v>
      </c>
      <c r="BP27">
        <f t="shared" si="102"/>
        <v>0</v>
      </c>
    </row>
    <row r="28" spans="1:68">
      <c r="A28" t="s">
        <v>484</v>
      </c>
      <c r="B28" s="10">
        <f>Isl</f>
        <v>4.3e-5</v>
      </c>
      <c r="C28" s="16" t="s">
        <v>12</v>
      </c>
      <c r="E28" t="s">
        <v>485</v>
      </c>
      <c r="N28" s="7">
        <v>10</v>
      </c>
      <c r="O28" s="18">
        <f t="shared" si="62"/>
        <v>12.5892541179417</v>
      </c>
      <c r="P28" s="86" t="str">
        <f t="shared" si="50"/>
        <v>54,5454545454545</v>
      </c>
      <c r="Q28" s="4" t="str">
        <f t="shared" si="51"/>
        <v>1+0,161077619059028i</v>
      </c>
      <c r="R28" s="4">
        <f t="shared" si="63"/>
        <v>1.01288992460273</v>
      </c>
      <c r="S28" s="4">
        <f t="shared" si="64"/>
        <v>0.159705805798786</v>
      </c>
      <c r="T28" s="4" t="str">
        <f t="shared" si="52"/>
        <v>1+0,00124029766675452i</v>
      </c>
      <c r="U28" s="4">
        <f t="shared" si="65"/>
        <v>1.00000076916886</v>
      </c>
      <c r="V28" s="4">
        <f t="shared" si="66"/>
        <v>0.00124029703075597</v>
      </c>
      <c r="W28" t="str">
        <f t="shared" si="53"/>
        <v>1-0,00355952774259907i</v>
      </c>
      <c r="X28" s="4">
        <f t="shared" si="67"/>
        <v>1.00000633509881</v>
      </c>
      <c r="Y28" s="4">
        <f t="shared" si="68"/>
        <v>-0.0035595127093591</v>
      </c>
      <c r="Z28" t="str">
        <f t="shared" si="54"/>
        <v>0,99999999870621+0,000245776915560412i</v>
      </c>
      <c r="AA28" s="4">
        <f t="shared" si="69"/>
        <v>1.00000002890936</v>
      </c>
      <c r="AB28" s="4">
        <f t="shared" si="70"/>
        <v>0.000245776910929572</v>
      </c>
      <c r="AC28" s="67" t="str">
        <f t="shared" si="71"/>
        <v>53,1442442212767-8,70025784904602i</v>
      </c>
      <c r="AD28" s="68">
        <f t="shared" si="72"/>
        <v>34.6239877371153</v>
      </c>
      <c r="AE28" s="31">
        <f t="shared" si="73"/>
        <v>-9.29743188586895</v>
      </c>
      <c r="AF28" s="32" t="str">
        <f t="shared" si="74"/>
        <v>432,040091031901</v>
      </c>
      <c r="AG28" s="32" t="str">
        <f t="shared" si="55"/>
        <v>1+0,131248430344393i</v>
      </c>
      <c r="AH28" s="32">
        <f t="shared" si="75"/>
        <v>1.00857629878352</v>
      </c>
      <c r="AI28" s="32">
        <f t="shared" si="76"/>
        <v>0.130502490036325</v>
      </c>
      <c r="AJ28" s="32" t="str">
        <f t="shared" si="56"/>
        <v>1+0,00124029766675452i</v>
      </c>
      <c r="AK28" s="32">
        <f t="shared" si="77"/>
        <v>1.00000076916886</v>
      </c>
      <c r="AL28" s="32">
        <f t="shared" si="78"/>
        <v>0.00124029703075597</v>
      </c>
      <c r="AM28" s="32" t="str">
        <f t="shared" si="57"/>
        <v>1-0,000366164703310692i</v>
      </c>
      <c r="AN28" s="32">
        <f t="shared" si="79"/>
        <v>1.00000006703829</v>
      </c>
      <c r="AO28" s="32">
        <f t="shared" si="80"/>
        <v>-0.000366164686945988</v>
      </c>
      <c r="AP28" s="30" t="str">
        <f t="shared" si="81"/>
        <v>424,772656887987-55,3730839846655i</v>
      </c>
      <c r="AQ28" s="32">
        <f t="shared" si="82"/>
        <v>52.6363130781798</v>
      </c>
      <c r="AR28" s="31">
        <f t="shared" si="83"/>
        <v>-7.42715780099332</v>
      </c>
      <c r="AS28" t="str">
        <f t="shared" si="58"/>
        <v>-0,000201496259351621</v>
      </c>
      <c r="AT28" t="str">
        <f t="shared" si="59"/>
        <v>0,0000177739085280447i</v>
      </c>
      <c r="AU28">
        <f t="shared" si="84"/>
        <v>1.77739085280447e-5</v>
      </c>
      <c r="AV28">
        <f t="shared" si="85"/>
        <v>1.5707963267949</v>
      </c>
      <c r="AW28" t="str">
        <f t="shared" si="60"/>
        <v>1+0,000909991516057814i</v>
      </c>
      <c r="AX28">
        <f t="shared" si="86"/>
        <v>1.00000041404219</v>
      </c>
      <c r="AY28">
        <f t="shared" si="87"/>
        <v>0.000909991264874631</v>
      </c>
      <c r="AZ28" t="str">
        <f t="shared" si="61"/>
        <v>1+0,0435053390762107i</v>
      </c>
      <c r="BA28">
        <f t="shared" si="88"/>
        <v>1.00094590989131</v>
      </c>
      <c r="BB28">
        <f t="shared" si="89"/>
        <v>0.0434779224754545</v>
      </c>
      <c r="BC28" s="30" t="str">
        <f t="shared" si="90"/>
        <v>-0,482887378334915+11,3370713765801i</v>
      </c>
      <c r="BD28" s="32">
        <f t="shared" si="91"/>
        <v>21.0978895367608</v>
      </c>
      <c r="BE28" s="31">
        <f t="shared" si="92"/>
        <v>92.4389628009694</v>
      </c>
      <c r="BF28" s="30" t="str">
        <f t="shared" si="93"/>
        <v>72,9727594636832+606,701334694582i</v>
      </c>
      <c r="BG28" s="68">
        <f t="shared" si="94"/>
        <v>55.7218772738761</v>
      </c>
      <c r="BH28" s="31">
        <f t="shared" si="95"/>
        <v>83.1415309151005</v>
      </c>
      <c r="BI28" s="30" t="str">
        <f t="shared" si="96"/>
        <v>422,651250802521+4842,41689331435i</v>
      </c>
      <c r="BJ28" s="68">
        <f t="shared" si="97"/>
        <v>73.7342026149406</v>
      </c>
      <c r="BK28" s="31">
        <f t="shared" si="98"/>
        <v>85.0118049999761</v>
      </c>
      <c r="BL28" s="32">
        <f t="shared" si="99"/>
        <v>55.7218772738761</v>
      </c>
      <c r="BM28" s="31">
        <f t="shared" si="100"/>
        <v>83.1415309151005</v>
      </c>
      <c r="BO28">
        <f t="shared" si="101"/>
        <v>0</v>
      </c>
      <c r="BP28">
        <f t="shared" si="102"/>
        <v>0</v>
      </c>
    </row>
    <row r="29" spans="1:68">
      <c r="B29" s="13"/>
      <c r="C29" s="16"/>
      <c r="N29" s="7">
        <v>11</v>
      </c>
      <c r="O29" s="18">
        <f t="shared" si="62"/>
        <v>12.8824955169313</v>
      </c>
      <c r="P29" s="86" t="str">
        <f t="shared" si="50"/>
        <v>54,5454545454545</v>
      </c>
      <c r="Q29" s="4" t="str">
        <f t="shared" si="51"/>
        <v>1+0,164829598796371i</v>
      </c>
      <c r="R29" s="4">
        <f t="shared" si="63"/>
        <v>1.01349336289853</v>
      </c>
      <c r="S29" s="4">
        <f t="shared" si="64"/>
        <v>0.163360729297034</v>
      </c>
      <c r="T29" s="4" t="str">
        <f t="shared" si="52"/>
        <v>1+0,00126918791073206i</v>
      </c>
      <c r="U29" s="4">
        <f t="shared" si="65"/>
        <v>1.00000080541865</v>
      </c>
      <c r="V29" s="4">
        <f t="shared" si="66"/>
        <v>0.00126918722924737</v>
      </c>
      <c r="W29" t="str">
        <f t="shared" si="53"/>
        <v>1-0,00364243979483054i</v>
      </c>
      <c r="X29" s="4">
        <f t="shared" si="67"/>
        <v>1.00000663366183</v>
      </c>
      <c r="Y29" s="4">
        <f t="shared" si="68"/>
        <v>-0.00364242368642946</v>
      </c>
      <c r="Z29" t="str">
        <f t="shared" si="54"/>
        <v>0,999999998645235+0,000251501795357346i</v>
      </c>
      <c r="AA29" s="4">
        <f t="shared" si="69"/>
        <v>1.00000003027181</v>
      </c>
      <c r="AB29" s="4">
        <f t="shared" si="70"/>
        <v>0.000251501790395311</v>
      </c>
      <c r="AC29" s="67" t="str">
        <f t="shared" si="71"/>
        <v>53,0799539033524-8,89231594311069i</v>
      </c>
      <c r="AD29" s="68">
        <f t="shared" si="72"/>
        <v>34.6188174772488</v>
      </c>
      <c r="AE29" s="31">
        <f t="shared" si="73"/>
        <v>-9.51026675081195</v>
      </c>
      <c r="AF29" s="32" t="str">
        <f t="shared" si="74"/>
        <v>432,040091031901</v>
      </c>
      <c r="AG29" s="32" t="str">
        <f t="shared" si="55"/>
        <v>1+0,134305599019266i</v>
      </c>
      <c r="AH29" s="32">
        <f t="shared" si="75"/>
        <v>1.00897868854001</v>
      </c>
      <c r="AI29" s="32">
        <f t="shared" si="76"/>
        <v>0.133506693225503</v>
      </c>
      <c r="AJ29" s="32" t="str">
        <f t="shared" si="56"/>
        <v>1+0,00126918791073206i</v>
      </c>
      <c r="AK29" s="32">
        <f t="shared" si="77"/>
        <v>1.00000080541865</v>
      </c>
      <c r="AL29" s="32">
        <f t="shared" si="78"/>
        <v>0.00126918722924737</v>
      </c>
      <c r="AM29" s="32" t="str">
        <f t="shared" si="57"/>
        <v>1-0,00037469377491839i</v>
      </c>
      <c r="AN29" s="32">
        <f t="shared" si="79"/>
        <v>1.00000007019771</v>
      </c>
      <c r="AO29" s="32">
        <f t="shared" si="80"/>
        <v>-0.000374693757383294</v>
      </c>
      <c r="AP29" s="30" t="str">
        <f t="shared" si="81"/>
        <v>424,436221881336-56,6177036973825i</v>
      </c>
      <c r="AQ29" s="32">
        <f t="shared" si="82"/>
        <v>52.6328487188178</v>
      </c>
      <c r="AR29" s="31">
        <f t="shared" si="83"/>
        <v>-7.59811935782931</v>
      </c>
      <c r="AS29" t="str">
        <f t="shared" si="58"/>
        <v>-0,000201496259351621</v>
      </c>
      <c r="AT29" t="str">
        <f t="shared" si="59"/>
        <v>0,0000181879160421871i</v>
      </c>
      <c r="AU29">
        <f t="shared" si="84"/>
        <v>1.81879160421871e-5</v>
      </c>
      <c r="AV29">
        <f t="shared" si="85"/>
        <v>1.5707963267949</v>
      </c>
      <c r="AW29" t="str">
        <f t="shared" si="60"/>
        <v>1+0,000931187941416894i</v>
      </c>
      <c r="AX29">
        <f t="shared" si="86"/>
        <v>1.0000004335554</v>
      </c>
      <c r="AY29">
        <f t="shared" si="87"/>
        <v>0.000931187672269271</v>
      </c>
      <c r="AZ29" t="str">
        <f t="shared" si="61"/>
        <v>1+0,0445187086034842i</v>
      </c>
      <c r="BA29">
        <f t="shared" si="88"/>
        <v>1.00099046719523</v>
      </c>
      <c r="BB29">
        <f t="shared" si="89"/>
        <v>0.0444893327562235</v>
      </c>
      <c r="BC29" s="30" t="str">
        <f t="shared" si="90"/>
        <v>-0,482887359489565+11,0790283637938i</v>
      </c>
      <c r="BD29" s="32">
        <f t="shared" si="91"/>
        <v>20.8982760127502</v>
      </c>
      <c r="BE29" s="31">
        <f t="shared" si="92"/>
        <v>92.4956978767291</v>
      </c>
      <c r="BF29" s="30" t="str">
        <f t="shared" si="93"/>
        <v>72,8865817713215+592,368301809624i</v>
      </c>
      <c r="BG29" s="68">
        <f t="shared" si="94"/>
        <v>55.517093489999</v>
      </c>
      <c r="BH29" s="31">
        <f t="shared" si="95"/>
        <v>82.9854311259171</v>
      </c>
      <c r="BI29" s="30" t="str">
        <f t="shared" si="96"/>
        <v>422,314258700168+4729,68091428359i</v>
      </c>
      <c r="BJ29" s="68">
        <f t="shared" si="97"/>
        <v>73.531124731568</v>
      </c>
      <c r="BK29" s="31">
        <f t="shared" si="98"/>
        <v>84.8975785188998</v>
      </c>
      <c r="BL29" s="32">
        <f t="shared" si="99"/>
        <v>55.517093489999</v>
      </c>
      <c r="BM29" s="31">
        <f t="shared" si="100"/>
        <v>82.9854311259171</v>
      </c>
      <c r="BO29">
        <f t="shared" si="101"/>
        <v>0</v>
      </c>
      <c r="BP29">
        <f t="shared" si="102"/>
        <v>0</v>
      </c>
    </row>
    <row r="30" spans="1:68">
      <c r="A30" t="s">
        <v>486</v>
      </c>
      <c r="B30" s="10">
        <f>Gcomp</f>
        <v>0.9</v>
      </c>
      <c r="C30" s="16"/>
      <c r="E30" t="s">
        <v>487</v>
      </c>
      <c r="N30" s="7">
        <v>12</v>
      </c>
      <c r="O30" s="18">
        <f t="shared" si="62"/>
        <v>13.1825673855641</v>
      </c>
      <c r="P30" s="86" t="str">
        <f t="shared" si="50"/>
        <v>54,5454545454545</v>
      </c>
      <c r="Q30" s="4" t="str">
        <f t="shared" si="51"/>
        <v>1+0,168668973368776i</v>
      </c>
      <c r="R30" s="4">
        <f t="shared" si="63"/>
        <v>1.01412485551695</v>
      </c>
      <c r="S30" s="4">
        <f t="shared" si="64"/>
        <v>0.167096232888122</v>
      </c>
      <c r="T30" s="4" t="str">
        <f t="shared" si="52"/>
        <v>1+0,00129875109493958i</v>
      </c>
      <c r="U30" s="4">
        <f t="shared" si="65"/>
        <v>1.00000084337685</v>
      </c>
      <c r="V30" s="4">
        <f t="shared" si="66"/>
        <v>0.00129875036471561</v>
      </c>
      <c r="W30" t="str">
        <f t="shared" si="53"/>
        <v>1-0,00372728311685466i</v>
      </c>
      <c r="X30" s="4">
        <f t="shared" si="67"/>
        <v>1.00000694629559</v>
      </c>
      <c r="Y30" s="4">
        <f t="shared" si="68"/>
        <v>-0.0037272658563984</v>
      </c>
      <c r="Z30" t="str">
        <f t="shared" si="54"/>
        <v>0,999999998581387+0,000257360024735202i</v>
      </c>
      <c r="AA30" s="4">
        <f t="shared" si="69"/>
        <v>1.00000003169848</v>
      </c>
      <c r="AB30" s="4">
        <f t="shared" si="70"/>
        <v>0.000257360019418286</v>
      </c>
      <c r="AC30" s="67" t="str">
        <f t="shared" si="71"/>
        <v>53,0127975320329-9,08811739615801i</v>
      </c>
      <c r="AD30" s="68">
        <f t="shared" si="72"/>
        <v>34.6134101469676</v>
      </c>
      <c r="AE30" s="31">
        <f t="shared" si="73"/>
        <v>-9.72779824810813</v>
      </c>
      <c r="AF30" s="32" t="str">
        <f t="shared" si="74"/>
        <v>432,040091031901</v>
      </c>
      <c r="AG30" s="32" t="str">
        <f t="shared" si="55"/>
        <v>1+0,137433978300484i</v>
      </c>
      <c r="AH30" s="32">
        <f t="shared" si="75"/>
        <v>1.00939987041385</v>
      </c>
      <c r="AI30" s="32">
        <f t="shared" si="76"/>
        <v>0.136578365275787</v>
      </c>
      <c r="AJ30" s="32" t="str">
        <f t="shared" si="56"/>
        <v>1+0,00129875109493958i</v>
      </c>
      <c r="AK30" s="32">
        <f t="shared" si="77"/>
        <v>1.00000084337685</v>
      </c>
      <c r="AL30" s="32">
        <f t="shared" si="78"/>
        <v>0.00129875036471561</v>
      </c>
      <c r="AM30" s="32" t="str">
        <f t="shared" si="57"/>
        <v>1-0,000383421514125213i</v>
      </c>
      <c r="AN30" s="32">
        <f t="shared" si="79"/>
        <v>1.00000007350603</v>
      </c>
      <c r="AO30" s="32">
        <f t="shared" si="80"/>
        <v>-0.000383421495336019</v>
      </c>
      <c r="AP30" s="30" t="str">
        <f t="shared" si="81"/>
        <v>424,084505816342-57,8881616945154i</v>
      </c>
      <c r="AQ30" s="32">
        <f t="shared" si="82"/>
        <v>52.6292240493219</v>
      </c>
      <c r="AR30" s="31">
        <f t="shared" si="83"/>
        <v>-7.77291942201679</v>
      </c>
      <c r="AS30" t="str">
        <f t="shared" si="58"/>
        <v>-0,000201496259351621</v>
      </c>
      <c r="AT30" t="str">
        <f t="shared" si="59"/>
        <v>0,0000186115670301609i</v>
      </c>
      <c r="AU30">
        <f t="shared" si="84"/>
        <v>1.86115670301609e-5</v>
      </c>
      <c r="AV30">
        <f t="shared" si="85"/>
        <v>1.5707963267949</v>
      </c>
      <c r="AW30" t="str">
        <f t="shared" si="60"/>
        <v>1+0,000952878094948255i</v>
      </c>
      <c r="AX30">
        <f t="shared" si="86"/>
        <v>1.00000045398823</v>
      </c>
      <c r="AY30">
        <f t="shared" si="87"/>
        <v>0.000952877806551388</v>
      </c>
      <c r="AZ30" t="str">
        <f t="shared" si="61"/>
        <v>1+0,0455556825393346i</v>
      </c>
      <c r="BA30">
        <f t="shared" si="88"/>
        <v>1.00103712229449</v>
      </c>
      <c r="BB30">
        <f t="shared" si="89"/>
        <v>0.0455242075129278</v>
      </c>
      <c r="BC30" s="30" t="str">
        <f t="shared" si="90"/>
        <v>-0,482887339756063+10,8268595984924i</v>
      </c>
      <c r="BD30" s="32">
        <f t="shared" si="91"/>
        <v>20.698680665901</v>
      </c>
      <c r="BE30" s="31">
        <f t="shared" si="92"/>
        <v>92.5537490794615</v>
      </c>
      <c r="BF30" s="30" t="str">
        <f t="shared" si="93"/>
        <v>72,796562289549+578,350652635446i</v>
      </c>
      <c r="BG30" s="68">
        <f t="shared" si="94"/>
        <v>55.3120908128686</v>
      </c>
      <c r="BH30" s="31">
        <f t="shared" si="95"/>
        <v>82.8259508313533</v>
      </c>
      <c r="BI30" s="30" t="str">
        <f t="shared" si="96"/>
        <v>421,961960235926+4619,4568627736i</v>
      </c>
      <c r="BJ30" s="68">
        <f t="shared" si="97"/>
        <v>73.3279047152229</v>
      </c>
      <c r="BK30" s="31">
        <f t="shared" si="98"/>
        <v>84.7808296574447</v>
      </c>
      <c r="BL30" s="32">
        <f t="shared" si="99"/>
        <v>55.3120908128686</v>
      </c>
      <c r="BM30" s="31">
        <f t="shared" si="100"/>
        <v>82.8259508313533</v>
      </c>
      <c r="BO30">
        <f t="shared" si="101"/>
        <v>0</v>
      </c>
      <c r="BP30">
        <f t="shared" si="102"/>
        <v>0</v>
      </c>
    </row>
    <row r="31" spans="1:68">
      <c r="A31" t="s">
        <v>436</v>
      </c>
      <c r="B31">
        <v>1</v>
      </c>
      <c r="E31" t="s">
        <v>488</v>
      </c>
      <c r="N31" s="7">
        <v>13</v>
      </c>
      <c r="O31" s="18">
        <f t="shared" si="62"/>
        <v>13.4896288259165</v>
      </c>
      <c r="P31" s="86" t="str">
        <f t="shared" si="50"/>
        <v>54,5454545454545</v>
      </c>
      <c r="Q31" s="4" t="str">
        <f t="shared" si="51"/>
        <v>1+0,172597778463457i</v>
      </c>
      <c r="R31" s="4">
        <f t="shared" si="63"/>
        <v>1.01478568827636</v>
      </c>
      <c r="S31" s="4">
        <f t="shared" si="64"/>
        <v>0.170913879973695</v>
      </c>
      <c r="T31" s="4" t="str">
        <f t="shared" si="52"/>
        <v>1+0,00132900289416862i</v>
      </c>
      <c r="U31" s="4">
        <f t="shared" si="65"/>
        <v>1.00000088312396</v>
      </c>
      <c r="V31" s="4">
        <f t="shared" si="66"/>
        <v>0.00132900211171957</v>
      </c>
      <c r="W31" t="str">
        <f t="shared" si="53"/>
        <v>1-0,00381410269372372i</v>
      </c>
      <c r="X31" s="4">
        <f t="shared" si="67"/>
        <v>1.00000727366323</v>
      </c>
      <c r="Y31" s="4">
        <f t="shared" si="68"/>
        <v>-0.00381408419881889</v>
      </c>
      <c r="Z31" t="str">
        <f t="shared" si="54"/>
        <v>0,99999999851453+0,000263354709804733i</v>
      </c>
      <c r="AA31" s="4">
        <f t="shared" si="69"/>
        <v>1.00000003319238</v>
      </c>
      <c r="AB31" s="4">
        <f t="shared" si="70"/>
        <v>0.000263354704107555</v>
      </c>
      <c r="AC31" s="67" t="str">
        <f t="shared" si="71"/>
        <v>52,9426551722587-9,28770043186028i</v>
      </c>
      <c r="AD31" s="68">
        <f t="shared" si="72"/>
        <v>34.6077551918881</v>
      </c>
      <c r="AE31" s="31">
        <f t="shared" si="73"/>
        <v>-9.95011781109286</v>
      </c>
      <c r="AF31" s="32" t="str">
        <f t="shared" si="74"/>
        <v>432,040091031901</v>
      </c>
      <c r="AG31" s="32" t="str">
        <f t="shared" si="55"/>
        <v>1+0,14063522689615i</v>
      </c>
      <c r="AH31" s="32">
        <f t="shared" si="75"/>
        <v>1.00984071369901</v>
      </c>
      <c r="AI31" s="32">
        <f t="shared" si="76"/>
        <v>0.13971890285214</v>
      </c>
      <c r="AJ31" s="32" t="str">
        <f t="shared" si="56"/>
        <v>1+0,00132900289416862i</v>
      </c>
      <c r="AK31" s="32">
        <f t="shared" si="77"/>
        <v>1.00000088312396</v>
      </c>
      <c r="AL31" s="32">
        <f t="shared" si="78"/>
        <v>0.00132900211171957</v>
      </c>
      <c r="AM31" s="32" t="str">
        <f t="shared" si="57"/>
        <v>1-0,000392352548494005i</v>
      </c>
      <c r="AN31" s="32">
        <f t="shared" si="79"/>
        <v>1.00000007697026</v>
      </c>
      <c r="AO31" s="32">
        <f t="shared" si="80"/>
        <v>-0.000392352528361021</v>
      </c>
      <c r="AP31" s="30" t="str">
        <f t="shared" si="81"/>
        <v>423,716842381829-59,1848437674784i</v>
      </c>
      <c r="AQ31" s="32">
        <f t="shared" si="82"/>
        <v>52.6254317946751</v>
      </c>
      <c r="AR31" s="31">
        <f t="shared" si="83"/>
        <v>-7.95163738361687</v>
      </c>
      <c r="AS31" t="str">
        <f t="shared" si="58"/>
        <v>-0,000201496259351621</v>
      </c>
      <c r="AT31" t="str">
        <f t="shared" si="59"/>
        <v>0,0000190450861173271i</v>
      </c>
      <c r="AU31">
        <f t="shared" si="84"/>
        <v>1.90450861173271e-5</v>
      </c>
      <c r="AV31">
        <f t="shared" si="85"/>
        <v>1.5707963267949</v>
      </c>
      <c r="AW31" t="str">
        <f t="shared" si="60"/>
        <v>1+0,00097507347705838i</v>
      </c>
      <c r="AX31">
        <f t="shared" si="86"/>
        <v>1.00000047538403</v>
      </c>
      <c r="AY31">
        <f t="shared" si="87"/>
        <v>0.000975073168035577</v>
      </c>
      <c r="AZ31" t="str">
        <f t="shared" si="61"/>
        <v>1+0,0466168107010676i</v>
      </c>
      <c r="BA31">
        <f t="shared" si="88"/>
        <v>1.00108597385037</v>
      </c>
      <c r="BB31">
        <f t="shared" si="89"/>
        <v>0.0465830865782907</v>
      </c>
      <c r="BC31" s="30" t="str">
        <f t="shared" si="90"/>
        <v>-0,482887319092549+10,5804313774589i</v>
      </c>
      <c r="BD31" s="32">
        <f t="shared" si="91"/>
        <v>20.4991043493251</v>
      </c>
      <c r="BE31" s="31">
        <f t="shared" si="92"/>
        <v>92.6131466803837</v>
      </c>
      <c r="BF31" s="30" t="str">
        <f t="shared" si="93"/>
        <v>72,7025402519198+564,641042752628i</v>
      </c>
      <c r="BG31" s="68">
        <f t="shared" si="94"/>
        <v>55.1068595412132</v>
      </c>
      <c r="BH31" s="31">
        <f t="shared" si="95"/>
        <v>82.6630288692908</v>
      </c>
      <c r="BI31" s="30" t="str">
        <f t="shared" si="96"/>
        <v>421,59368799531+4511,6865848323i</v>
      </c>
      <c r="BJ31" s="68">
        <f t="shared" si="97"/>
        <v>73.1245361440002</v>
      </c>
      <c r="BK31" s="31">
        <f t="shared" si="98"/>
        <v>84.6615092967668</v>
      </c>
      <c r="BL31" s="32">
        <f t="shared" si="99"/>
        <v>55.1068595412132</v>
      </c>
      <c r="BM31" s="31">
        <f t="shared" si="100"/>
        <v>82.6630288692908</v>
      </c>
      <c r="BO31">
        <f t="shared" si="101"/>
        <v>0</v>
      </c>
      <c r="BP31">
        <f t="shared" si="102"/>
        <v>0</v>
      </c>
    </row>
    <row r="32" ht="15.75" spans="1:68">
      <c r="A32" s="87" t="s">
        <v>489</v>
      </c>
      <c r="N32" s="7">
        <v>14</v>
      </c>
      <c r="O32" s="18">
        <f t="shared" si="62"/>
        <v>13.8038426460289</v>
      </c>
      <c r="P32" s="86" t="str">
        <f t="shared" si="50"/>
        <v>54,5454545454545</v>
      </c>
      <c r="Q32" s="4" t="str">
        <f t="shared" si="51"/>
        <v>1+0,176618097184883i</v>
      </c>
      <c r="R32" s="4">
        <f t="shared" si="63"/>
        <v>1.01547720420165</v>
      </c>
      <c r="S32" s="4">
        <f t="shared" si="64"/>
        <v>0.174815249377296</v>
      </c>
      <c r="T32" s="4" t="str">
        <f t="shared" si="52"/>
        <v>1+0,0013599593483236i</v>
      </c>
      <c r="U32" s="4">
        <f t="shared" si="65"/>
        <v>1.00000092474429</v>
      </c>
      <c r="V32" s="4">
        <f t="shared" si="66"/>
        <v>0.00135995850991438</v>
      </c>
      <c r="W32" t="str">
        <f t="shared" si="53"/>
        <v>1-0,00390294455832666i</v>
      </c>
      <c r="X32" s="4">
        <f t="shared" si="67"/>
        <v>1.00000761645911</v>
      </c>
      <c r="Y32" s="4">
        <f t="shared" si="68"/>
        <v>-0.00390292474068723</v>
      </c>
      <c r="Z32" t="str">
        <f t="shared" si="54"/>
        <v>0,999999998444522+0,000269489029027317i</v>
      </c>
      <c r="AA32" s="4">
        <f t="shared" si="69"/>
        <v>1.00000003475669</v>
      </c>
      <c r="AB32" s="4">
        <f t="shared" si="70"/>
        <v>0.000269489022922681</v>
      </c>
      <c r="AC32" s="67" t="str">
        <f t="shared" si="71"/>
        <v>52,8694026016389-9,49110103971078i</v>
      </c>
      <c r="AD32" s="68">
        <f t="shared" si="72"/>
        <v>34.6018416172867</v>
      </c>
      <c r="AE32" s="31">
        <f t="shared" si="73"/>
        <v>-10.1773177999522</v>
      </c>
      <c r="AF32" s="32" t="str">
        <f t="shared" si="74"/>
        <v>432,040091031901</v>
      </c>
      <c r="AG32" s="32" t="str">
        <f t="shared" si="55"/>
        <v>1+0,143911042150645i</v>
      </c>
      <c r="AH32" s="32">
        <f t="shared" si="75"/>
        <v>1.0103021271149</v>
      </c>
      <c r="AI32" s="32">
        <f t="shared" si="76"/>
        <v>0.142929723178646</v>
      </c>
      <c r="AJ32" s="32" t="str">
        <f t="shared" si="56"/>
        <v>1+0,0013599593483236i</v>
      </c>
      <c r="AK32" s="32">
        <f t="shared" si="77"/>
        <v>1.00000092474429</v>
      </c>
      <c r="AL32" s="32">
        <f t="shared" si="78"/>
        <v>0.00135995850991438</v>
      </c>
      <c r="AM32" s="32" t="str">
        <f t="shared" si="57"/>
        <v>1-0,000401491613377412i</v>
      </c>
      <c r="AN32" s="32">
        <f t="shared" si="79"/>
        <v>1.00000008059775</v>
      </c>
      <c r="AO32" s="32">
        <f t="shared" si="80"/>
        <v>-0.000401491591804532</v>
      </c>
      <c r="AP32" s="30" t="str">
        <f t="shared" si="81"/>
        <v>423,332538833499-60,50813035235i</v>
      </c>
      <c r="AQ32" s="32">
        <f t="shared" si="82"/>
        <v>52.621464363243</v>
      </c>
      <c r="AR32" s="31">
        <f t="shared" si="83"/>
        <v>-8.13435379589897</v>
      </c>
      <c r="AS32" t="str">
        <f t="shared" si="58"/>
        <v>-0,000201496259351621</v>
      </c>
      <c r="AT32" t="str">
        <f t="shared" si="59"/>
        <v>0,0000194887031612444i</v>
      </c>
      <c r="AU32">
        <f t="shared" si="84"/>
        <v>1.94887031612444e-5</v>
      </c>
      <c r="AV32">
        <f t="shared" si="85"/>
        <v>1.5707963267949</v>
      </c>
      <c r="AW32" t="str">
        <f t="shared" si="60"/>
        <v>1+0,000997785856032675i</v>
      </c>
      <c r="AX32">
        <f t="shared" si="86"/>
        <v>1.00000049778818</v>
      </c>
      <c r="AY32">
        <f t="shared" si="87"/>
        <v>0.000997785524908785</v>
      </c>
      <c r="AZ32" t="str">
        <f t="shared" si="61"/>
        <v>1+0,0477026557128812i</v>
      </c>
      <c r="BA32">
        <f t="shared" si="88"/>
        <v>1.00113712515422</v>
      </c>
      <c r="BB32">
        <f t="shared" si="89"/>
        <v>0.0476665218806739</v>
      </c>
      <c r="BC32" s="30" t="str">
        <f t="shared" si="90"/>
        <v>-0,482887297455197+10,3396130411883i</v>
      </c>
      <c r="BD32" s="32">
        <f t="shared" si="91"/>
        <v>20.2995479559982</v>
      </c>
      <c r="BE32" s="31">
        <f t="shared" si="92"/>
        <v>92.6739216283941</v>
      </c>
      <c r="BF32" s="30" t="str">
        <f t="shared" si="93"/>
        <v>72,6043491450532+551,23229675068i</v>
      </c>
      <c r="BG32" s="68">
        <f t="shared" si="94"/>
        <v>54.901389573285</v>
      </c>
      <c r="BH32" s="31">
        <f t="shared" si="95"/>
        <v>82.4966038284419</v>
      </c>
      <c r="BI32" s="30" t="str">
        <f t="shared" si="96"/>
        <v>421,208748086924+4406,31324682211i</v>
      </c>
      <c r="BJ32" s="68">
        <f t="shared" si="97"/>
        <v>72.9210123192412</v>
      </c>
      <c r="BK32" s="31">
        <f t="shared" si="98"/>
        <v>84.5395678324951</v>
      </c>
      <c r="BL32" s="32">
        <f t="shared" si="99"/>
        <v>54.901389573285</v>
      </c>
      <c r="BM32" s="31">
        <f t="shared" si="100"/>
        <v>82.4966038284419</v>
      </c>
      <c r="BO32">
        <f t="shared" si="101"/>
        <v>0</v>
      </c>
      <c r="BP32">
        <f t="shared" si="102"/>
        <v>0</v>
      </c>
    </row>
    <row r="33" spans="1:68">
      <c r="N33" s="7">
        <v>15</v>
      </c>
      <c r="O33" s="18">
        <f t="shared" si="62"/>
        <v>14.1253754462275</v>
      </c>
      <c r="P33" s="86" t="str">
        <f t="shared" si="50"/>
        <v>54,5454545454545</v>
      </c>
      <c r="Q33" s="4" t="str">
        <f t="shared" si="51"/>
        <v>1+0,18073206115925i</v>
      </c>
      <c r="R33" s="4">
        <f t="shared" si="63"/>
        <v>1.01620080590938</v>
      </c>
      <c r="S33" s="4">
        <f t="shared" si="64"/>
        <v>0.178801934367822</v>
      </c>
      <c r="T33" s="4" t="str">
        <f t="shared" si="52"/>
        <v>1+0,00139163687092623i</v>
      </c>
      <c r="U33" s="4">
        <f t="shared" si="65"/>
        <v>1.00000096832612</v>
      </c>
      <c r="V33" s="4">
        <f t="shared" si="66"/>
        <v>0.00139163597255462</v>
      </c>
      <c r="W33" t="str">
        <f t="shared" si="53"/>
        <v>1-0,00399385581579594i</v>
      </c>
      <c r="X33" s="4">
        <f t="shared" si="67"/>
        <v>1.00000797541034</v>
      </c>
      <c r="Y33" s="4">
        <f t="shared" si="68"/>
        <v>-0.00399383458082186</v>
      </c>
      <c r="Z33" t="str">
        <f t="shared" si="54"/>
        <v>0,999999998371214+0,000275766234900196i</v>
      </c>
      <c r="AA33" s="4">
        <f t="shared" si="69"/>
        <v>1.00000003639472</v>
      </c>
      <c r="AB33" s="4">
        <f t="shared" si="70"/>
        <v>0.000275766228358961</v>
      </c>
      <c r="AC33" s="67" t="str">
        <f t="shared" si="71"/>
        <v>52,7929112267146-9,69835274235155i</v>
      </c>
      <c r="AD33" s="68">
        <f t="shared" si="72"/>
        <v>34.5956579724855</v>
      </c>
      <c r="AE33" s="31">
        <f t="shared" si="73"/>
        <v>-10.4094914467771</v>
      </c>
      <c r="AF33" s="32" t="str">
        <f t="shared" si="74"/>
        <v>432,040091031901</v>
      </c>
      <c r="AG33" s="32" t="str">
        <f t="shared" si="55"/>
        <v>1+0,147263160944574i</v>
      </c>
      <c r="AH33" s="32">
        <f t="shared" si="75"/>
        <v>1.01078506052048</v>
      </c>
      <c r="AI33" s="32">
        <f t="shared" si="76"/>
        <v>0.146212263724059</v>
      </c>
      <c r="AJ33" s="32" t="str">
        <f t="shared" si="56"/>
        <v>1+0,00139163687092623i</v>
      </c>
      <c r="AK33" s="32">
        <f t="shared" si="77"/>
        <v>1.00000096832612</v>
      </c>
      <c r="AL33" s="32">
        <f t="shared" si="78"/>
        <v>0.00139163597255462</v>
      </c>
      <c r="AM33" s="32" t="str">
        <f t="shared" si="57"/>
        <v>1-0,000410843554428597i</v>
      </c>
      <c r="AN33" s="32">
        <f t="shared" si="79"/>
        <v>1.00000008439621</v>
      </c>
      <c r="AO33" s="32">
        <f t="shared" si="80"/>
        <v>-0.000410843531312839</v>
      </c>
      <c r="AP33" s="30" t="str">
        <f t="shared" si="81"/>
        <v>422,930875195131-61,858395508547i</v>
      </c>
      <c r="AQ33" s="32">
        <f t="shared" si="82"/>
        <v>52.61731383427</v>
      </c>
      <c r="AR33" s="31">
        <f t="shared" si="83"/>
        <v>-8.32115035698081</v>
      </c>
      <c r="AS33" t="str">
        <f t="shared" si="58"/>
        <v>-0,000201496259351621</v>
      </c>
      <c r="AT33" t="str">
        <f t="shared" si="59"/>
        <v>0,000019942653373541i</v>
      </c>
      <c r="AU33">
        <f t="shared" si="84"/>
        <v>1.9942653373541e-5</v>
      </c>
      <c r="AV33">
        <f t="shared" si="85"/>
        <v>1.5707963267949</v>
      </c>
      <c r="AW33" t="str">
        <f t="shared" si="60"/>
        <v>1+0,00102102727427508i</v>
      </c>
      <c r="AX33">
        <f t="shared" si="86"/>
        <v>1.00000052124821</v>
      </c>
      <c r="AY33">
        <f t="shared" si="87"/>
        <v>0.00102102691946945</v>
      </c>
      <c r="AZ33" t="str">
        <f t="shared" si="61"/>
        <v>1+0,0488137933041725i</v>
      </c>
      <c r="BA33">
        <f t="shared" si="88"/>
        <v>1.00119068434377</v>
      </c>
      <c r="BB33">
        <f t="shared" si="89"/>
        <v>0.0487750776918606</v>
      </c>
      <c r="BC33" s="30" t="str">
        <f t="shared" si="90"/>
        <v>-0,482887274798112+10,1042769046112i</v>
      </c>
      <c r="BD33" s="32">
        <f t="shared" si="91"/>
        <v>20.1000124206071</v>
      </c>
      <c r="BE33" s="31">
        <f t="shared" si="92"/>
        <v>92.7361055639115</v>
      </c>
      <c r="BF33" s="30" t="str">
        <f t="shared" si="93"/>
        <v>72,5018165963886+538,117404761067i</v>
      </c>
      <c r="BG33" s="68">
        <f t="shared" si="94"/>
        <v>54.6956703930925</v>
      </c>
      <c r="BH33" s="31">
        <f t="shared" si="95"/>
        <v>82.3266141171344</v>
      </c>
      <c r="BI33" s="30" t="str">
        <f t="shared" si="96"/>
        <v>420,806419342359+4303,28130651167i</v>
      </c>
      <c r="BJ33" s="68">
        <f t="shared" si="97"/>
        <v>72.7173262548771</v>
      </c>
      <c r="BK33" s="31">
        <f t="shared" si="98"/>
        <v>84.4149552069307</v>
      </c>
      <c r="BL33" s="32">
        <f t="shared" si="99"/>
        <v>54.6956703930925</v>
      </c>
      <c r="BM33" s="31">
        <f t="shared" si="100"/>
        <v>82.3266141171344</v>
      </c>
      <c r="BO33">
        <f t="shared" si="101"/>
        <v>0</v>
      </c>
      <c r="BP33">
        <f t="shared" si="102"/>
        <v>0</v>
      </c>
    </row>
    <row r="34" spans="1:68">
      <c r="A34" t="s">
        <v>450</v>
      </c>
      <c r="B34" s="88">
        <f>(Gcomp*(VOUT/IOUT)*(1-DC_VIN_Var))/(R_cs*Acs*(1+DC_VIN_Var))</f>
        <v>54.5454545454545</v>
      </c>
      <c r="C34" t="s">
        <v>244</v>
      </c>
      <c r="E34" t="s">
        <v>490</v>
      </c>
      <c r="N34" s="7">
        <v>16</v>
      </c>
      <c r="O34" s="18">
        <f t="shared" si="62"/>
        <v>14.4543977074593</v>
      </c>
      <c r="P34" s="86" t="str">
        <f t="shared" si="50"/>
        <v>54,5454545454545</v>
      </c>
      <c r="Q34" s="4" t="str">
        <f t="shared" si="51"/>
        <v>1+0,184941851664718i</v>
      </c>
      <c r="R34" s="4">
        <f t="shared" si="63"/>
        <v>1.01695795807751</v>
      </c>
      <c r="S34" s="4">
        <f t="shared" si="64"/>
        <v>0.182875541583493</v>
      </c>
      <c r="T34" s="4" t="str">
        <f t="shared" si="52"/>
        <v>1+0,00142405225781833i</v>
      </c>
      <c r="U34" s="4">
        <f t="shared" si="65"/>
        <v>1.0000010139619</v>
      </c>
      <c r="V34" s="4">
        <f t="shared" si="66"/>
        <v>0.00142405129519586</v>
      </c>
      <c r="W34" t="str">
        <f t="shared" si="53"/>
        <v>1-0,00408688466848374i</v>
      </c>
      <c r="X34" s="4">
        <f t="shared" si="67"/>
        <v>1.00000835127827</v>
      </c>
      <c r="Y34" s="4">
        <f t="shared" si="68"/>
        <v>-0.00408686191480933</v>
      </c>
      <c r="Z34" t="str">
        <f t="shared" si="54"/>
        <v>0,999999998294452+0,00028218965568102i</v>
      </c>
      <c r="AA34" s="4">
        <f t="shared" si="69"/>
        <v>1.00000003810995</v>
      </c>
      <c r="AB34" s="4">
        <f t="shared" si="70"/>
        <v>0.00028218964867196</v>
      </c>
      <c r="AC34" s="67" t="str">
        <f t="shared" si="71"/>
        <v>52,7130480048536-9,90948634925398i</v>
      </c>
      <c r="AD34" s="68">
        <f t="shared" si="72"/>
        <v>34.5891923349458</v>
      </c>
      <c r="AE34" s="31">
        <f t="shared" si="73"/>
        <v>-10.646732794941</v>
      </c>
      <c r="AF34" s="32" t="str">
        <f t="shared" si="74"/>
        <v>432,040091031901</v>
      </c>
      <c r="AG34" s="32" t="str">
        <f t="shared" si="55"/>
        <v>1+0,150693360615696i</v>
      </c>
      <c r="AH34" s="32">
        <f t="shared" si="75"/>
        <v>1.0112905066961</v>
      </c>
      <c r="AI34" s="32">
        <f t="shared" si="76"/>
        <v>0.149567981830631</v>
      </c>
      <c r="AJ34" s="32" t="str">
        <f t="shared" si="56"/>
        <v>1+0,00142405225781833i</v>
      </c>
      <c r="AK34" s="32">
        <f t="shared" si="77"/>
        <v>1.0000010139619</v>
      </c>
      <c r="AL34" s="32">
        <f t="shared" si="78"/>
        <v>0.00142405129519586</v>
      </c>
      <c r="AM34" s="32" t="str">
        <f t="shared" si="57"/>
        <v>1-0,000420413330170502i</v>
      </c>
      <c r="AN34" s="32">
        <f t="shared" si="79"/>
        <v>1.00000008837368</v>
      </c>
      <c r="AO34" s="32">
        <f t="shared" si="80"/>
        <v>-0.000420413305401521</v>
      </c>
      <c r="AP34" s="30" t="str">
        <f t="shared" si="81"/>
        <v>422,511103460649-63,2360058242672i</v>
      </c>
      <c r="AQ34" s="32">
        <f t="shared" si="82"/>
        <v>52.6129719450048</v>
      </c>
      <c r="AR34" s="31">
        <f t="shared" si="83"/>
        <v>-8.51210988821034</v>
      </c>
      <c r="AS34" t="str">
        <f t="shared" si="58"/>
        <v>-0,000201496259351621</v>
      </c>
      <c r="AT34" t="str">
        <f t="shared" si="59"/>
        <v>0,0000204071774446288i</v>
      </c>
      <c r="AU34">
        <f t="shared" si="84"/>
        <v>2.04071774446288e-5</v>
      </c>
      <c r="AV34">
        <f t="shared" si="85"/>
        <v>1.5707963267949</v>
      </c>
      <c r="AW34" t="str">
        <f t="shared" si="60"/>
        <v>1+0,00104481005469322i</v>
      </c>
      <c r="AX34">
        <f t="shared" si="86"/>
        <v>1.00000054581388</v>
      </c>
      <c r="AY34">
        <f t="shared" si="87"/>
        <v>0.00104480967451215</v>
      </c>
      <c r="AZ34" t="str">
        <f t="shared" si="61"/>
        <v>1+0,0499508126148012i</v>
      </c>
      <c r="BA34">
        <f t="shared" si="88"/>
        <v>1.00124676462942</v>
      </c>
      <c r="BB34">
        <f t="shared" si="89"/>
        <v>0.0499093308782242</v>
      </c>
      <c r="BC34" s="30" t="str">
        <f t="shared" si="90"/>
        <v>-0,482887251073229+9,87429818939255i</v>
      </c>
      <c r="BD34" s="32">
        <f t="shared" si="91"/>
        <v>19.9004987214778</v>
      </c>
      <c r="BE34" s="31">
        <f t="shared" si="92"/>
        <v>92.7997308329002</v>
      </c>
      <c r="BF34" s="30" t="str">
        <f t="shared" si="93"/>
        <v>72,3947642694938+525,289519094427i</v>
      </c>
      <c r="BG34" s="68">
        <f t="shared" si="94"/>
        <v>54.4896910564236</v>
      </c>
      <c r="BH34" s="31">
        <f t="shared" si="95"/>
        <v>82.1529980379592</v>
      </c>
      <c r="BI34" s="30" t="str">
        <f t="shared" si="96"/>
        <v>420,385952516949+4202,53648492107i</v>
      </c>
      <c r="BJ34" s="68">
        <f t="shared" si="97"/>
        <v>72.5134706664826</v>
      </c>
      <c r="BK34" s="31">
        <f t="shared" si="98"/>
        <v>84.2876209446899</v>
      </c>
      <c r="BL34" s="32">
        <f t="shared" si="99"/>
        <v>54.4896910564236</v>
      </c>
      <c r="BM34" s="31">
        <f t="shared" si="100"/>
        <v>82.1529980379592</v>
      </c>
      <c r="BO34">
        <f t="shared" si="101"/>
        <v>0</v>
      </c>
      <c r="BP34">
        <f t="shared" si="102"/>
        <v>0</v>
      </c>
    </row>
    <row r="35" spans="1:68">
      <c r="A35" t="s">
        <v>442</v>
      </c>
      <c r="B35" s="89">
        <f>(1+DC_VIN_Var)/(Cout*(VOUT/IOUT))</f>
        <v>491.071428571429</v>
      </c>
      <c r="C35" t="s">
        <v>324</v>
      </c>
      <c r="E35" t="s">
        <v>491</v>
      </c>
      <c r="N35" s="7">
        <v>17</v>
      </c>
      <c r="O35" s="18">
        <f t="shared" si="62"/>
        <v>14.7910838816821</v>
      </c>
      <c r="P35" s="86" t="str">
        <f t="shared" si="50"/>
        <v>54,5454545454545</v>
      </c>
      <c r="Q35" s="4" t="str">
        <f t="shared" si="51"/>
        <v>1+0,189249700787933i</v>
      </c>
      <c r="R35" s="4">
        <f t="shared" si="63"/>
        <v>1.01775019000161</v>
      </c>
      <c r="S35" s="4">
        <f t="shared" si="64"/>
        <v>0.187037689850504</v>
      </c>
      <c r="T35" s="4" t="str">
        <f t="shared" si="52"/>
        <v>1+0,00145722269606709i</v>
      </c>
      <c r="U35" s="4">
        <f t="shared" si="65"/>
        <v>1.00000106174843</v>
      </c>
      <c r="V35" s="4">
        <f t="shared" si="66"/>
        <v>0.00145722166459858</v>
      </c>
      <c r="W35" t="str">
        <f t="shared" si="53"/>
        <v>1-0,00418208044151906i</v>
      </c>
      <c r="X35" s="4">
        <f t="shared" si="67"/>
        <v>1.00000874486017</v>
      </c>
      <c r="Y35" s="4">
        <f t="shared" si="68"/>
        <v>-0.00418205606052918</v>
      </c>
      <c r="Z35" t="str">
        <f t="shared" si="54"/>
        <v>0,999999998214072+0,000288762697152507i</v>
      </c>
      <c r="AA35" s="4">
        <f t="shared" si="69"/>
        <v>1.00000003990602</v>
      </c>
      <c r="AB35" s="4">
        <f t="shared" si="70"/>
        <v>0.000288762689642164</v>
      </c>
      <c r="AC35" s="67" t="str">
        <f t="shared" si="71"/>
        <v>52,6296753727262-10,1245296963271i</v>
      </c>
      <c r="AD35" s="68">
        <f t="shared" si="72"/>
        <v>34.582432294093</v>
      </c>
      <c r="AE35" s="31">
        <f t="shared" si="73"/>
        <v>-10.889136632467</v>
      </c>
      <c r="AF35" s="32" t="str">
        <f t="shared" si="74"/>
        <v>432,040091031901</v>
      </c>
      <c r="AG35" s="32" t="str">
        <f t="shared" si="55"/>
        <v>1+0,154203459901279i</v>
      </c>
      <c r="AH35" s="32">
        <f t="shared" si="75"/>
        <v>1.01181950319488</v>
      </c>
      <c r="AI35" s="32">
        <f t="shared" si="76"/>
        <v>0.152998354282135</v>
      </c>
      <c r="AJ35" s="32" t="str">
        <f t="shared" si="56"/>
        <v>1+0,00145722269606709i</v>
      </c>
      <c r="AK35" s="32">
        <f t="shared" si="77"/>
        <v>1.00000106174843</v>
      </c>
      <c r="AL35" s="32">
        <f t="shared" si="78"/>
        <v>0.00145722166459858</v>
      </c>
      <c r="AM35" s="32" t="str">
        <f t="shared" si="57"/>
        <v>1-0,00043020601462489i</v>
      </c>
      <c r="AN35" s="32">
        <f t="shared" si="79"/>
        <v>1.0000000925386</v>
      </c>
      <c r="AO35" s="32">
        <f t="shared" si="80"/>
        <v>-0.000430205988084449</v>
      </c>
      <c r="AP35" s="30" t="str">
        <f t="shared" si="81"/>
        <v>422,072446800242-64,6413192450543i</v>
      </c>
      <c r="AQ35" s="32">
        <f t="shared" si="82"/>
        <v>52.608430077453</v>
      </c>
      <c r="AR35" s="31">
        <f t="shared" si="83"/>
        <v>-8.70731630905565</v>
      </c>
      <c r="AS35" t="str">
        <f t="shared" si="58"/>
        <v>-0,000201496259351621</v>
      </c>
      <c r="AT35" t="str">
        <f t="shared" si="59"/>
        <v>0,0000208825216713185i</v>
      </c>
      <c r="AU35">
        <f t="shared" si="84"/>
        <v>2.08825216713185e-5</v>
      </c>
      <c r="AV35">
        <f t="shared" si="85"/>
        <v>1.5707963267949</v>
      </c>
      <c r="AW35" t="str">
        <f t="shared" si="60"/>
        <v>1+0,00106914680723204i</v>
      </c>
      <c r="AX35">
        <f t="shared" si="86"/>
        <v>1.00000057153728</v>
      </c>
      <c r="AY35">
        <f t="shared" si="87"/>
        <v>0.00106914639986069</v>
      </c>
      <c r="AZ35" t="str">
        <f t="shared" si="61"/>
        <v>1+0,0511143165074551i</v>
      </c>
      <c r="BA35">
        <f t="shared" si="88"/>
        <v>1.00130548453108</v>
      </c>
      <c r="BB35">
        <f t="shared" si="89"/>
        <v>0.0510698711551764</v>
      </c>
      <c r="BC35" s="30" t="str">
        <f t="shared" si="90"/>
        <v>-0,482887226230233+9,64955495777342i</v>
      </c>
      <c r="BD35" s="32">
        <f t="shared" si="91"/>
        <v>19.7010078825947</v>
      </c>
      <c r="BE35" s="31">
        <f t="shared" si="92"/>
        <v>92.8648305010749</v>
      </c>
      <c r="BF35" s="30" t="str">
        <f t="shared" si="93"/>
        <v>72,283007768184+512,741950980841i</v>
      </c>
      <c r="BG35" s="68">
        <f t="shared" si="94"/>
        <v>54.2834401766877</v>
      </c>
      <c r="BH35" s="31">
        <f t="shared" si="95"/>
        <v>81.9756938686079</v>
      </c>
      <c r="BI35" s="30" t="str">
        <f t="shared" si="96"/>
        <v>419,946569494552+4104,02573891094i</v>
      </c>
      <c r="BJ35" s="68">
        <f t="shared" si="97"/>
        <v>72.3094379600477</v>
      </c>
      <c r="BK35" s="31">
        <f t="shared" si="98"/>
        <v>84.1575141920192</v>
      </c>
      <c r="BL35" s="32">
        <f t="shared" si="99"/>
        <v>54.2834401766877</v>
      </c>
      <c r="BM35" s="31">
        <f t="shared" si="100"/>
        <v>81.9756938686079</v>
      </c>
      <c r="BO35">
        <f t="shared" si="101"/>
        <v>0</v>
      </c>
      <c r="BP35">
        <f t="shared" si="102"/>
        <v>0</v>
      </c>
    </row>
    <row r="36" spans="1:68">
      <c r="B36" s="90">
        <f>wp_lf/(2*PI())</f>
        <v>78.1564452683415</v>
      </c>
      <c r="C36" t="s">
        <v>111</v>
      </c>
      <c r="N36" s="7">
        <v>18</v>
      </c>
      <c r="O36" s="18">
        <f t="shared" si="62"/>
        <v>15.1356124843621</v>
      </c>
      <c r="P36" s="86" t="str">
        <f t="shared" si="50"/>
        <v>54,5454545454545</v>
      </c>
      <c r="Q36" s="4" t="str">
        <f t="shared" si="51"/>
        <v>1+0,193657892607521i</v>
      </c>
      <c r="R36" s="4">
        <f t="shared" si="63"/>
        <v>1.01857909823891</v>
      </c>
      <c r="S36" s="4">
        <f t="shared" si="64"/>
        <v>0.191290008890501</v>
      </c>
      <c r="T36" s="4" t="str">
        <f t="shared" si="52"/>
        <v>1+0,00149116577307792i</v>
      </c>
      <c r="U36" s="4">
        <f t="shared" si="65"/>
        <v>1.00000111178706</v>
      </c>
      <c r="V36" s="4">
        <f t="shared" si="66"/>
        <v>0.00149116466783957</v>
      </c>
      <c r="W36" t="str">
        <f t="shared" si="53"/>
        <v>1-0,00427949360896086i</v>
      </c>
      <c r="X36" s="4">
        <f t="shared" si="67"/>
        <v>1.00000915699085</v>
      </c>
      <c r="Y36" s="4">
        <f t="shared" si="68"/>
        <v>-0.00427946748427244</v>
      </c>
      <c r="Z36" t="str">
        <f t="shared" si="54"/>
        <v>0,999999998129904+0,00029548884442825i</v>
      </c>
      <c r="AA36" s="4">
        <f t="shared" si="69"/>
        <v>1.00000004178673</v>
      </c>
      <c r="AB36" s="4">
        <f t="shared" si="70"/>
        <v>0.000295488836380772</v>
      </c>
      <c r="AC36" s="67" t="str">
        <f t="shared" si="71"/>
        <v>52,5426511823815-10,3435073710656i</v>
      </c>
      <c r="AD36" s="68">
        <f t="shared" si="72"/>
        <v>34.5753649348962</v>
      </c>
      <c r="AE36" s="31">
        <f t="shared" si="73"/>
        <v>-11.1367984190496</v>
      </c>
      <c r="AF36" s="32" t="str">
        <f t="shared" si="74"/>
        <v>432,040091031901</v>
      </c>
      <c r="AG36" s="32" t="str">
        <f t="shared" si="55"/>
        <v>1+0,157795319902425i</v>
      </c>
      <c r="AH36" s="32">
        <f t="shared" si="75"/>
        <v>1.01237313426577</v>
      </c>
      <c r="AI36" s="32">
        <f t="shared" si="76"/>
        <v>0.156504876806909</v>
      </c>
      <c r="AJ36" s="32" t="str">
        <f t="shared" si="56"/>
        <v>1+0,00149116577307792i</v>
      </c>
      <c r="AK36" s="32">
        <f t="shared" si="77"/>
        <v>1.00000111178706</v>
      </c>
      <c r="AL36" s="32">
        <f t="shared" si="78"/>
        <v>0.00149116466783957</v>
      </c>
      <c r="AM36" s="32" t="str">
        <f t="shared" si="57"/>
        <v>1-0,000440226800002681i</v>
      </c>
      <c r="AN36" s="32">
        <f t="shared" si="79"/>
        <v>1.00000009689981</v>
      </c>
      <c r="AO36" s="32">
        <f t="shared" si="80"/>
        <v>-0.000440226771564087</v>
      </c>
      <c r="AP36" s="30" t="str">
        <f t="shared" si="81"/>
        <v>421,614098773994-66,0746838218187i</v>
      </c>
      <c r="AQ36" s="32">
        <f t="shared" si="82"/>
        <v>52.6036792447637</v>
      </c>
      <c r="AR36" s="31">
        <f t="shared" si="83"/>
        <v>-8.90685460826385</v>
      </c>
      <c r="AS36" t="str">
        <f t="shared" si="58"/>
        <v>-0,000201496259351621</v>
      </c>
      <c r="AT36" t="str">
        <f t="shared" si="59"/>
        <v>0,0000213689380874112i</v>
      </c>
      <c r="AU36">
        <f t="shared" si="84"/>
        <v>2.13689380874112e-5</v>
      </c>
      <c r="AV36">
        <f t="shared" si="85"/>
        <v>1.5707963267949</v>
      </c>
      <c r="AW36" t="str">
        <f t="shared" si="60"/>
        <v>1+0,00109405043555989i</v>
      </c>
      <c r="AX36">
        <f t="shared" si="86"/>
        <v>1.000000598473</v>
      </c>
      <c r="AY36">
        <f t="shared" si="87"/>
        <v>0.00109404999905364</v>
      </c>
      <c r="AZ36" t="str">
        <f t="shared" si="61"/>
        <v>1+0,0523049218872993i</v>
      </c>
      <c r="BA36">
        <f t="shared" si="88"/>
        <v>1.00136696812589</v>
      </c>
      <c r="BB36">
        <f t="shared" si="89"/>
        <v>0.0522573013448104</v>
      </c>
      <c r="BC36" s="30" t="str">
        <f t="shared" si="90"/>
        <v>-0,482887200216423+9,42992804791733i</v>
      </c>
      <c r="BD36" s="32">
        <f t="shared" si="91"/>
        <v>19.5015409757077</v>
      </c>
      <c r="BE36" s="31">
        <f t="shared" si="92"/>
        <v>92.9314383682789</v>
      </c>
      <c r="BF36" s="30" t="str">
        <f t="shared" si="93"/>
        <v>72,1663565508428+500,468167411508i</v>
      </c>
      <c r="BG36" s="68">
        <f t="shared" si="94"/>
        <v>54.0769059106039</v>
      </c>
      <c r="BH36" s="31">
        <f t="shared" si="95"/>
        <v>81.7946399492292</v>
      </c>
      <c r="BI36" s="30" t="str">
        <f t="shared" si="96"/>
        <v>419,487462499893+4007,69723450218i</v>
      </c>
      <c r="BJ36" s="68">
        <f t="shared" si="97"/>
        <v>72.1052202204715</v>
      </c>
      <c r="BK36" s="31">
        <f t="shared" si="98"/>
        <v>84.024583760015</v>
      </c>
      <c r="BL36" s="32">
        <f t="shared" si="99"/>
        <v>54.0769059106039</v>
      </c>
      <c r="BM36" s="31">
        <f t="shared" si="100"/>
        <v>81.7946399492292</v>
      </c>
      <c r="BO36">
        <f t="shared" si="101"/>
        <v>0</v>
      </c>
      <c r="BP36">
        <f t="shared" si="102"/>
        <v>0</v>
      </c>
    </row>
    <row r="37" spans="1:68">
      <c r="B37" s="12"/>
      <c r="C37" t="s">
        <v>492</v>
      </c>
      <c r="E37" t="s">
        <v>493</v>
      </c>
      <c r="N37" s="7">
        <v>19</v>
      </c>
      <c r="O37" s="18">
        <f t="shared" si="62"/>
        <v>15.4881661891248</v>
      </c>
      <c r="P37" s="86" t="str">
        <f t="shared" si="50"/>
        <v>54,5454545454545</v>
      </c>
      <c r="Q37" s="4" t="str">
        <f t="shared" si="51"/>
        <v>1+0,198168764405135i</v>
      </c>
      <c r="R37" s="4">
        <f t="shared" si="63"/>
        <v>1.01944634934157</v>
      </c>
      <c r="S37" s="4">
        <f t="shared" si="64"/>
        <v>0.19563413791074</v>
      </c>
      <c r="T37" s="4" t="str">
        <f t="shared" si="52"/>
        <v>1+0,00152589948591954i</v>
      </c>
      <c r="U37" s="4">
        <f t="shared" si="65"/>
        <v>1.00000116418394</v>
      </c>
      <c r="V37" s="4">
        <f t="shared" si="66"/>
        <v>0.00152589830163538</v>
      </c>
      <c r="W37" t="str">
        <f t="shared" si="53"/>
        <v>1-0,00437917582055991i</v>
      </c>
      <c r="X37" s="4">
        <f t="shared" si="67"/>
        <v>1.00000958854446</v>
      </c>
      <c r="Y37" s="4">
        <f t="shared" si="68"/>
        <v>-0.00437914782746642</v>
      </c>
      <c r="Z37" t="str">
        <f t="shared" si="54"/>
        <v>0,999999998041769+0,000302371663800565i</v>
      </c>
      <c r="AA37" s="4">
        <f t="shared" si="69"/>
        <v>1.00000004375608</v>
      </c>
      <c r="AB37" s="4">
        <f t="shared" si="70"/>
        <v>0.000302371655177537</v>
      </c>
      <c r="AC37" s="67" t="str">
        <f t="shared" si="71"/>
        <v>52,451828646037-10,5664404228767i</v>
      </c>
      <c r="AD37" s="68">
        <f t="shared" si="72"/>
        <v>34.5679768212339</v>
      </c>
      <c r="AE37" s="31">
        <f t="shared" si="73"/>
        <v>-11.3898142063795</v>
      </c>
      <c r="AF37" s="32" t="str">
        <f t="shared" si="74"/>
        <v>432,040091031901</v>
      </c>
      <c r="AG37" s="32" t="str">
        <f t="shared" si="55"/>
        <v>1+0,161470845070851i</v>
      </c>
      <c r="AH37" s="32">
        <f t="shared" si="75"/>
        <v>1.01295253285033</v>
      </c>
      <c r="AI37" s="32">
        <f t="shared" si="76"/>
        <v>0.160089063511478</v>
      </c>
      <c r="AJ37" s="32" t="str">
        <f t="shared" si="56"/>
        <v>1+0,00152589948591954i</v>
      </c>
      <c r="AK37" s="32">
        <f t="shared" si="77"/>
        <v>1.00000116418394</v>
      </c>
      <c r="AL37" s="32">
        <f t="shared" si="78"/>
        <v>0.00152589830163538</v>
      </c>
      <c r="AM37" s="32" t="str">
        <f t="shared" si="57"/>
        <v>1-0,000450480999456924i</v>
      </c>
      <c r="AN37" s="32">
        <f t="shared" si="79"/>
        <v>1.00000010146656</v>
      </c>
      <c r="AO37" s="32">
        <f t="shared" si="80"/>
        <v>-0.000450480968984421</v>
      </c>
      <c r="AP37" s="30" t="str">
        <f t="shared" si="81"/>
        <v>421,135222556912-67,5364363745768i</v>
      </c>
      <c r="AQ37" s="32">
        <f t="shared" si="82"/>
        <v>52.5987100772503</v>
      </c>
      <c r="AR37" s="31">
        <f t="shared" si="83"/>
        <v>-9.11081081103336</v>
      </c>
      <c r="AS37" t="str">
        <f t="shared" si="58"/>
        <v>-0,000201496259351621</v>
      </c>
      <c r="AT37" t="str">
        <f t="shared" si="59"/>
        <v>0,0000218666845973291i</v>
      </c>
      <c r="AU37">
        <f t="shared" si="84"/>
        <v>2.18666845973291e-5</v>
      </c>
      <c r="AV37">
        <f t="shared" si="85"/>
        <v>1.5707963267949</v>
      </c>
      <c r="AW37" t="str">
        <f t="shared" si="60"/>
        <v>1+0,00111953414391014i</v>
      </c>
      <c r="AX37">
        <f t="shared" si="86"/>
        <v>1.00000062667815</v>
      </c>
      <c r="AY37">
        <f t="shared" si="87"/>
        <v>0.00111953367618529</v>
      </c>
      <c r="AZ37" t="str">
        <f t="shared" si="61"/>
        <v>1+0,0535232600290655i</v>
      </c>
      <c r="BA37">
        <f t="shared" si="88"/>
        <v>1.00143134530738</v>
      </c>
      <c r="BB37">
        <f t="shared" si="89"/>
        <v>0.0534722376366077</v>
      </c>
      <c r="BC37" s="30" t="str">
        <f t="shared" si="90"/>
        <v>-0,482887172976625+9,21530101072945i</v>
      </c>
      <c r="BD37" s="32">
        <f t="shared" si="91"/>
        <v>19.3020991225372</v>
      </c>
      <c r="BE37" s="31">
        <f t="shared" si="92"/>
        <v>92.99958898303</v>
      </c>
      <c r="BF37" s="30" t="str">
        <f t="shared" si="93"/>
        <v>72,044613856409+488,461788080662i</v>
      </c>
      <c r="BG37" s="68">
        <f t="shared" si="94"/>
        <v>53.8700759437711</v>
      </c>
      <c r="BH37" s="31">
        <f t="shared" si="95"/>
        <v>81.6097747766505</v>
      </c>
      <c r="BI37" s="30" t="str">
        <f t="shared" si="96"/>
        <v>419,007793322314+3913,50032091632i</v>
      </c>
      <c r="BJ37" s="68">
        <f t="shared" si="97"/>
        <v>71.9008091997874</v>
      </c>
      <c r="BK37" s="31">
        <f t="shared" si="98"/>
        <v>83.8887781719967</v>
      </c>
      <c r="BL37" s="32">
        <f t="shared" si="99"/>
        <v>53.8700759437711</v>
      </c>
      <c r="BM37" s="31">
        <f t="shared" si="100"/>
        <v>81.6097747766505</v>
      </c>
      <c r="BO37">
        <f t="shared" si="101"/>
        <v>0</v>
      </c>
      <c r="BP37">
        <f t="shared" si="102"/>
        <v>0</v>
      </c>
    </row>
    <row r="38" spans="1:68">
      <c r="A38" t="s">
        <v>494</v>
      </c>
      <c r="B38" s="89">
        <f>((VOUT/IOUT)*((1-DC_VIN_Var)^2))/(Lm*DC_VIN_Var)</f>
        <v>22222.2222222222</v>
      </c>
      <c r="C38" t="s">
        <v>324</v>
      </c>
      <c r="E38" t="s">
        <v>495</v>
      </c>
      <c r="N38" s="7">
        <v>20</v>
      </c>
      <c r="O38" s="18">
        <f t="shared" si="62"/>
        <v>15.8489319246111</v>
      </c>
      <c r="P38" s="86" t="str">
        <f t="shared" si="50"/>
        <v>54,5454545454545</v>
      </c>
      <c r="Q38" s="4" t="str">
        <f t="shared" si="51"/>
        <v>1+0,20278470790471i</v>
      </c>
      <c r="R38" s="4">
        <f t="shared" si="63"/>
        <v>1.02035368268067</v>
      </c>
      <c r="S38" s="4">
        <f t="shared" si="64"/>
        <v>0.20007172407073</v>
      </c>
      <c r="T38" s="4" t="str">
        <f t="shared" si="52"/>
        <v>1+0,00156144225086627i</v>
      </c>
      <c r="U38" s="4">
        <f t="shared" si="65"/>
        <v>1.00000121905021</v>
      </c>
      <c r="V38" s="4">
        <f t="shared" si="66"/>
        <v>0.00156144098188302</v>
      </c>
      <c r="W38" t="str">
        <f t="shared" si="53"/>
        <v>1-0,00448117992914427i</v>
      </c>
      <c r="X38" s="4">
        <f t="shared" si="67"/>
        <v>1.00001004043637</v>
      </c>
      <c r="Y38" s="4">
        <f t="shared" si="68"/>
        <v>-0.00448114993402045</v>
      </c>
      <c r="Z38" t="str">
        <f t="shared" si="54"/>
        <v>0,99999999794948+0,00030941480463139i</v>
      </c>
      <c r="AA38" s="4">
        <f t="shared" si="69"/>
        <v>1.00000004581824</v>
      </c>
      <c r="AB38" s="4">
        <f t="shared" si="70"/>
        <v>0.00030941479539165</v>
      </c>
      <c r="AC38" s="67" t="str">
        <f t="shared" si="71"/>
        <v>52,3570562907698-10,7933460582754i</v>
      </c>
      <c r="AD38" s="68">
        <f t="shared" si="72"/>
        <v>34.5602539790788</v>
      </c>
      <c r="AE38" s="31">
        <f t="shared" si="73"/>
        <v>-11.6482805514177</v>
      </c>
      <c r="AF38" s="32" t="str">
        <f t="shared" si="74"/>
        <v>432,040091031901</v>
      </c>
      <c r="AG38" s="32" t="str">
        <f t="shared" si="55"/>
        <v>1+0,165231984218653i</v>
      </c>
      <c r="AH38" s="32">
        <f t="shared" si="75"/>
        <v>1.01355888265499</v>
      </c>
      <c r="AI38" s="32">
        <f t="shared" si="76"/>
        <v>0.163752446240131</v>
      </c>
      <c r="AJ38" s="32" t="str">
        <f t="shared" si="56"/>
        <v>1+0,00156144225086627i</v>
      </c>
      <c r="AK38" s="32">
        <f t="shared" si="77"/>
        <v>1.00000121905021</v>
      </c>
      <c r="AL38" s="32">
        <f t="shared" si="78"/>
        <v>0.00156144098188302</v>
      </c>
      <c r="AM38" s="32" t="str">
        <f t="shared" si="57"/>
        <v>1-0,000460974049899899i</v>
      </c>
      <c r="AN38" s="32">
        <f t="shared" si="79"/>
        <v>1.00000010624853</v>
      </c>
      <c r="AO38" s="32">
        <f t="shared" si="80"/>
        <v>-0.000460974017248024</v>
      </c>
      <c r="AP38" s="30" t="str">
        <f t="shared" si="81"/>
        <v>420,634950179642-69,0269010681733i</v>
      </c>
      <c r="AQ38" s="32">
        <f t="shared" si="82"/>
        <v>52.5935128080545</v>
      </c>
      <c r="AR38" s="31">
        <f t="shared" si="83"/>
        <v>-9.31927194193526</v>
      </c>
      <c r="AS38" t="str">
        <f t="shared" si="58"/>
        <v>-0,000201496259351621</v>
      </c>
      <c r="AT38" t="str">
        <f t="shared" si="59"/>
        <v>0,0000223760251128604i</v>
      </c>
      <c r="AU38">
        <f t="shared" si="84"/>
        <v>2.23760251128604e-5</v>
      </c>
      <c r="AV38">
        <f t="shared" si="85"/>
        <v>1.5707963267949</v>
      </c>
      <c r="AW38" t="str">
        <f t="shared" si="60"/>
        <v>1+0,00114561144408228i</v>
      </c>
      <c r="AX38">
        <f t="shared" si="86"/>
        <v>1.00000065621258</v>
      </c>
      <c r="AY38">
        <f t="shared" si="87"/>
        <v>0.00114561094290609</v>
      </c>
      <c r="AZ38" t="str">
        <f t="shared" si="61"/>
        <v>1+0,0547699769117632i</v>
      </c>
      <c r="BA38">
        <f t="shared" si="88"/>
        <v>1.00149875205659</v>
      </c>
      <c r="BB38">
        <f t="shared" si="89"/>
        <v>0.0547153098510857</v>
      </c>
      <c r="BC38" s="30" t="str">
        <f t="shared" si="90"/>
        <v>-0,482887144453057+9,00556004811349i</v>
      </c>
      <c r="BD38" s="32">
        <f t="shared" si="91"/>
        <v>19.1026834970764</v>
      </c>
      <c r="BE38" s="31">
        <f t="shared" si="92"/>
        <v>93.0693176572253</v>
      </c>
      <c r="BF38" s="30" t="str">
        <f t="shared" si="93"/>
        <v>71,9175766436504+476,71658242616i</v>
      </c>
      <c r="BG38" s="68">
        <f t="shared" si="94"/>
        <v>53.6629374761552</v>
      </c>
      <c r="BH38" s="31">
        <f t="shared" si="95"/>
        <v>81.4210371058076</v>
      </c>
      <c r="BI38" s="30" t="str">
        <f t="shared" si="96"/>
        <v>418,506692555223+3821,38550532525i</v>
      </c>
      <c r="BJ38" s="68">
        <f t="shared" si="97"/>
        <v>71.6961963051309</v>
      </c>
      <c r="BK38" s="31">
        <f t="shared" si="98"/>
        <v>83.75004571529</v>
      </c>
      <c r="BL38" s="32">
        <f t="shared" si="99"/>
        <v>53.6629374761552</v>
      </c>
      <c r="BM38" s="31">
        <f t="shared" si="100"/>
        <v>81.4210371058076</v>
      </c>
      <c r="BO38">
        <f t="shared" si="101"/>
        <v>0</v>
      </c>
      <c r="BP38">
        <f t="shared" si="102"/>
        <v>0</v>
      </c>
    </row>
    <row r="39" spans="1:68">
      <c r="B39" s="12">
        <f>wz_rhp/2*PI()</f>
        <v>34906.5850398866</v>
      </c>
      <c r="C39" t="s">
        <v>111</v>
      </c>
      <c r="N39" s="7">
        <v>21</v>
      </c>
      <c r="O39" s="18">
        <f t="shared" si="62"/>
        <v>16.2181009735893</v>
      </c>
      <c r="P39" s="86" t="str">
        <f t="shared" si="50"/>
        <v>54,5454545454545</v>
      </c>
      <c r="Q39" s="4" t="str">
        <f t="shared" si="51"/>
        <v>1+0,20750817054059i</v>
      </c>
      <c r="R39" s="4">
        <f t="shared" si="63"/>
        <v>1.0213029133617</v>
      </c>
      <c r="S39" s="4">
        <f t="shared" si="64"/>
        <v>0.204604420819017</v>
      </c>
      <c r="T39" s="4" t="str">
        <f t="shared" si="52"/>
        <v>1+0,00159781291316254i</v>
      </c>
      <c r="U39" s="4">
        <f t="shared" si="65"/>
        <v>1.00000127650224</v>
      </c>
      <c r="V39" s="4">
        <f t="shared" si="66"/>
        <v>0.00159781155342258</v>
      </c>
      <c r="W39" t="str">
        <f t="shared" si="53"/>
        <v>1-0,0045855600186425i</v>
      </c>
      <c r="X39" s="4">
        <f t="shared" si="67"/>
        <v>1.00001051362507</v>
      </c>
      <c r="Y39" s="4">
        <f t="shared" si="68"/>
        <v>-0.00458552787830651</v>
      </c>
      <c r="Z39" t="str">
        <f t="shared" si="54"/>
        <v>0,999999997852842+0,00031662200128722i</v>
      </c>
      <c r="AA39" s="4">
        <f t="shared" si="69"/>
        <v>1.00000004797759</v>
      </c>
      <c r="AB39" s="4">
        <f t="shared" si="70"/>
        <v>0.00031662199138666</v>
      </c>
      <c r="AC39" s="67" t="str">
        <f t="shared" si="71"/>
        <v>52,258177924394-11,0242373206826i</v>
      </c>
      <c r="AD39" s="68">
        <f t="shared" si="72"/>
        <v>34.552181879539</v>
      </c>
      <c r="AE39" s="31">
        <f t="shared" si="73"/>
        <v>-11.912294422254</v>
      </c>
      <c r="AF39" s="32" t="str">
        <f t="shared" si="74"/>
        <v>432,040091031901</v>
      </c>
      <c r="AG39" s="32" t="str">
        <f t="shared" si="55"/>
        <v>1+0,169080731551591i</v>
      </c>
      <c r="AH39" s="32">
        <f t="shared" si="75"/>
        <v>1.01419342030109</v>
      </c>
      <c r="AI39" s="32">
        <f t="shared" si="76"/>
        <v>0.167496573855635</v>
      </c>
      <c r="AJ39" s="32" t="str">
        <f t="shared" si="56"/>
        <v>1+0,00159781291316254i</v>
      </c>
      <c r="AK39" s="32">
        <f t="shared" si="77"/>
        <v>1.00000127650224</v>
      </c>
      <c r="AL39" s="32">
        <f t="shared" si="78"/>
        <v>0.00159781155342258</v>
      </c>
      <c r="AM39" s="32" t="str">
        <f t="shared" si="57"/>
        <v>1-0,000471711514885846i</v>
      </c>
      <c r="AN39" s="32">
        <f t="shared" si="79"/>
        <v>1.00000011125587</v>
      </c>
      <c r="AO39" s="32">
        <f t="shared" si="80"/>
        <v>-0.000471711479898732</v>
      </c>
      <c r="AP39" s="30" t="str">
        <f t="shared" si="81"/>
        <v>420,112381789614-70,5463878962467i</v>
      </c>
      <c r="AQ39" s="32">
        <f t="shared" si="82"/>
        <v>52.5880772584615</v>
      </c>
      <c r="AR39" s="31">
        <f t="shared" si="83"/>
        <v>-9.5323259833069</v>
      </c>
      <c r="AS39" t="str">
        <f t="shared" si="58"/>
        <v>-0,000201496259351621</v>
      </c>
      <c r="AT39" t="str">
        <f t="shared" si="59"/>
        <v>0,0000228972296930883i</v>
      </c>
      <c r="AU39">
        <f t="shared" si="84"/>
        <v>2.28972296930883e-5</v>
      </c>
      <c r="AV39">
        <f t="shared" si="85"/>
        <v>1.5707963267949</v>
      </c>
      <c r="AW39" t="str">
        <f t="shared" si="60"/>
        <v>1+0,00117229616260603i</v>
      </c>
      <c r="AX39">
        <f t="shared" si="86"/>
        <v>1.00000068713891</v>
      </c>
      <c r="AY39">
        <f t="shared" si="87"/>
        <v>0.00117229562558608</v>
      </c>
      <c r="AZ39" t="str">
        <f t="shared" si="61"/>
        <v>1+0,056045733561186i</v>
      </c>
      <c r="BA39">
        <f t="shared" si="88"/>
        <v>1.00156933072574</v>
      </c>
      <c r="BB39">
        <f t="shared" si="89"/>
        <v>0.0559871617062321</v>
      </c>
      <c r="BC39" s="30" t="str">
        <f t="shared" si="90"/>
        <v>-0,482887114585216+8,80059395263459i</v>
      </c>
      <c r="BD39" s="32">
        <f t="shared" si="91"/>
        <v>18.9032953279991</v>
      </c>
      <c r="BE39" s="31">
        <f t="shared" si="92"/>
        <v>93.1406604809958</v>
      </c>
      <c r="BF39" s="30" t="str">
        <f t="shared" si="93"/>
        <v>71,7850355454164+465,226466767411i</v>
      </c>
      <c r="BG39" s="68">
        <f t="shared" si="94"/>
        <v>53.4554772075381</v>
      </c>
      <c r="BH39" s="31">
        <f t="shared" si="95"/>
        <v>81.2283660587419</v>
      </c>
      <c r="BI39" s="30" t="str">
        <f t="shared" si="96"/>
        <v>417,983258856013+3731,30442830022i</v>
      </c>
      <c r="BJ39" s="68">
        <f t="shared" si="97"/>
        <v>71.4913725864605</v>
      </c>
      <c r="BK39" s="31">
        <f t="shared" si="98"/>
        <v>83.6083344976889</v>
      </c>
      <c r="BL39" s="32">
        <f t="shared" si="99"/>
        <v>53.4554772075381</v>
      </c>
      <c r="BM39" s="31">
        <f t="shared" si="100"/>
        <v>81.2283660587419</v>
      </c>
      <c r="BO39">
        <f t="shared" si="101"/>
        <v>0</v>
      </c>
      <c r="BP39">
        <f t="shared" si="102"/>
        <v>0</v>
      </c>
    </row>
    <row r="40" spans="1:68">
      <c r="B40" s="12"/>
      <c r="N40" s="7">
        <v>22</v>
      </c>
      <c r="O40" s="18">
        <f t="shared" si="62"/>
        <v>16.5958690743756</v>
      </c>
      <c r="P40" s="86" t="str">
        <f t="shared" si="50"/>
        <v>54,5454545454545</v>
      </c>
      <c r="Q40" s="4" t="str">
        <f t="shared" si="51"/>
        <v>1+0,212341656755186i</v>
      </c>
      <c r="R40" s="4">
        <f t="shared" si="63"/>
        <v>1.02229593523282</v>
      </c>
      <c r="S40" s="4">
        <f t="shared" si="64"/>
        <v>0.20923388609364</v>
      </c>
      <c r="T40" s="4" t="str">
        <f t="shared" si="52"/>
        <v>1+0,00163503075701493i</v>
      </c>
      <c r="U40" s="4">
        <f t="shared" si="65"/>
        <v>1.00000133666189</v>
      </c>
      <c r="V40" s="4">
        <f t="shared" si="66"/>
        <v>0.00163502930002742</v>
      </c>
      <c r="W40" t="str">
        <f t="shared" si="53"/>
        <v>1-0,00469237143275969i</v>
      </c>
      <c r="X40" s="4">
        <f t="shared" si="67"/>
        <v>1.00001100911423</v>
      </c>
      <c r="Y40" s="4">
        <f t="shared" si="68"/>
        <v>-0.00469233699378968</v>
      </c>
      <c r="Z40" t="str">
        <f t="shared" si="54"/>
        <v>0,99999999775165+0,000323997075119121i</v>
      </c>
      <c r="AA40" s="4">
        <f t="shared" si="69"/>
        <v>1.0000000502387</v>
      </c>
      <c r="AB40" s="4">
        <f t="shared" si="70"/>
        <v>0.000323997064510479</v>
      </c>
      <c r="AC40" s="67" t="str">
        <f t="shared" si="71"/>
        <v>52,1550326138947-11,2591227546281i</v>
      </c>
      <c r="AD40" s="68">
        <f t="shared" si="72"/>
        <v>34.5437454218003</v>
      </c>
      <c r="AE40" s="31">
        <f t="shared" si="73"/>
        <v>-12.1819530961832</v>
      </c>
      <c r="AF40" s="32" t="str">
        <f t="shared" si="74"/>
        <v>432,040091031901</v>
      </c>
      <c r="AG40" s="32" t="str">
        <f t="shared" si="55"/>
        <v>1+0,173019127726447i</v>
      </c>
      <c r="AH40" s="32">
        <f t="shared" si="75"/>
        <v>1.01485743755427</v>
      </c>
      <c r="AI40" s="32">
        <f t="shared" si="76"/>
        <v>0.171323011436067</v>
      </c>
      <c r="AJ40" s="32" t="str">
        <f t="shared" si="56"/>
        <v>1+0,00163503075701493i</v>
      </c>
      <c r="AK40" s="32">
        <f t="shared" si="77"/>
        <v>1.00000133666189</v>
      </c>
      <c r="AL40" s="32">
        <f t="shared" si="78"/>
        <v>0.00163502930002742</v>
      </c>
      <c r="AM40" s="32" t="str">
        <f t="shared" si="57"/>
        <v>1-0,000482699087560826i</v>
      </c>
      <c r="AN40" s="32">
        <f t="shared" si="79"/>
        <v>1.0000001164992</v>
      </c>
      <c r="AO40" s="32">
        <f t="shared" si="80"/>
        <v>-0.000482699050071458</v>
      </c>
      <c r="AP40" s="30" t="str">
        <f t="shared" si="81"/>
        <v>419,566584937818-72,0951910697356i</v>
      </c>
      <c r="AQ40" s="32">
        <f t="shared" si="82"/>
        <v>52.5823928228758</v>
      </c>
      <c r="AR40" s="31">
        <f t="shared" si="83"/>
        <v>-9.75006182883043</v>
      </c>
      <c r="AS40" t="str">
        <f t="shared" si="58"/>
        <v>-0,000201496259351621</v>
      </c>
      <c r="AT40" t="str">
        <f t="shared" si="59"/>
        <v>0,00002343057468758i</v>
      </c>
      <c r="AU40">
        <f t="shared" si="84"/>
        <v>2.343057468758e-5</v>
      </c>
      <c r="AV40">
        <f t="shared" si="85"/>
        <v>1.5707963267949</v>
      </c>
      <c r="AW40" t="str">
        <f t="shared" si="60"/>
        <v>1+0,00119960244807237i</v>
      </c>
      <c r="AX40">
        <f t="shared" si="86"/>
        <v>1.00000071952276</v>
      </c>
      <c r="AY40">
        <f t="shared" si="87"/>
        <v>0.00119960187264515</v>
      </c>
      <c r="AZ40" t="str">
        <f t="shared" si="61"/>
        <v>1+0,0573512064003961i</v>
      </c>
      <c r="BA40">
        <f t="shared" si="88"/>
        <v>1.00164323033482</v>
      </c>
      <c r="BB40">
        <f t="shared" si="89"/>
        <v>0.0572884510865601</v>
      </c>
      <c r="BC40" s="30" t="str">
        <f t="shared" si="90"/>
        <v>-0,482887083309756+8,60029404855578i</v>
      </c>
      <c r="BD40" s="32">
        <f t="shared" si="91"/>
        <v>18.7039359011738</v>
      </c>
      <c r="BE40" s="31">
        <f t="shared" si="92"/>
        <v>93.213654337703</v>
      </c>
      <c r="BF40" s="30" t="str">
        <f t="shared" si="93"/>
        <v>71,6467748397382+453,98550153912i</v>
      </c>
      <c r="BG40" s="68">
        <f t="shared" si="94"/>
        <v>53.2476813229741</v>
      </c>
      <c r="BH40" s="31">
        <f t="shared" si="95"/>
        <v>81.0317012415198</v>
      </c>
      <c r="BI40" s="30" t="str">
        <f t="shared" si="96"/>
        <v>417,436558231681+3643,20983994991i</v>
      </c>
      <c r="BJ40" s="68">
        <f t="shared" si="97"/>
        <v>71.2863287240496</v>
      </c>
      <c r="BK40" s="31">
        <f t="shared" si="98"/>
        <v>83.4635925088726</v>
      </c>
      <c r="BL40" s="32">
        <f t="shared" si="99"/>
        <v>53.2476813229741</v>
      </c>
      <c r="BM40" s="31">
        <f t="shared" si="100"/>
        <v>81.0317012415198</v>
      </c>
      <c r="BO40">
        <f t="shared" si="101"/>
        <v>0</v>
      </c>
      <c r="BP40">
        <f t="shared" si="102"/>
        <v>0</v>
      </c>
    </row>
    <row r="41" spans="1:68">
      <c r="A41" t="s">
        <v>443</v>
      </c>
      <c r="B41" s="89">
        <f>1/(Cout*Resr)</f>
        <v>63775.5102040816</v>
      </c>
      <c r="C41" t="s">
        <v>324</v>
      </c>
      <c r="E41" t="s">
        <v>496</v>
      </c>
      <c r="N41" s="7">
        <v>23</v>
      </c>
      <c r="O41" s="18">
        <f t="shared" si="62"/>
        <v>16.9824365246174</v>
      </c>
      <c r="P41" s="86" t="str">
        <f t="shared" si="50"/>
        <v>54,5454545454545</v>
      </c>
      <c r="Q41" s="4" t="str">
        <f t="shared" si="51"/>
        <v>1+0,217287729326866i</v>
      </c>
      <c r="R41" s="4">
        <f t="shared" si="63"/>
        <v>1.02333472398626</v>
      </c>
      <c r="S41" s="4">
        <f t="shared" si="64"/>
        <v>0.213961780379782</v>
      </c>
      <c r="T41" s="4" t="str">
        <f t="shared" si="52"/>
        <v>1+0,00167311551581687i</v>
      </c>
      <c r="U41" s="4">
        <f t="shared" si="65"/>
        <v>1.00000139965679</v>
      </c>
      <c r="V41" s="4">
        <f t="shared" si="66"/>
        <v>0.00167311395462674</v>
      </c>
      <c r="W41" t="str">
        <f t="shared" si="53"/>
        <v>1-0,00480167080432137i</v>
      </c>
      <c r="X41" s="4">
        <f t="shared" si="67"/>
        <v>1.00001152795481</v>
      </c>
      <c r="Y41" s="4">
        <f t="shared" si="68"/>
        <v>-0.00480163390232312</v>
      </c>
      <c r="Z41" t="str">
        <f t="shared" si="54"/>
        <v>0,999999997645689+0,000331543936488857i</v>
      </c>
      <c r="AA41" s="4">
        <f t="shared" si="69"/>
        <v>1.00000005260638</v>
      </c>
      <c r="AB41" s="4">
        <f t="shared" si="70"/>
        <v>0.000331543925121493</v>
      </c>
      <c r="AC41" s="67" t="str">
        <f t="shared" si="71"/>
        <v>52,0474546778856-11,4980060542256i</v>
      </c>
      <c r="AD41" s="68">
        <f t="shared" si="72"/>
        <v>34.5349289160151</v>
      </c>
      <c r="AE41" s="31">
        <f t="shared" si="73"/>
        <v>-12.4573540496247</v>
      </c>
      <c r="AF41" s="32" t="str">
        <f t="shared" si="74"/>
        <v>432,040091031901</v>
      </c>
      <c r="AG41" s="32" t="str">
        <f t="shared" si="55"/>
        <v>1+0,177049260933002i</v>
      </c>
      <c r="AH41" s="32">
        <f t="shared" si="75"/>
        <v>1.01555228363532</v>
      </c>
      <c r="AI41" s="32">
        <f t="shared" si="76"/>
        <v>0.175233339382526</v>
      </c>
      <c r="AJ41" s="32" t="str">
        <f t="shared" si="56"/>
        <v>1+0,00167311551581687i</v>
      </c>
      <c r="AK41" s="32">
        <f t="shared" si="77"/>
        <v>1.00000139965679</v>
      </c>
      <c r="AL41" s="32">
        <f t="shared" si="78"/>
        <v>0.00167311395462674</v>
      </c>
      <c r="AM41" s="32" t="str">
        <f t="shared" si="57"/>
        <v>1-0,000493942593681306i</v>
      </c>
      <c r="AN41" s="32">
        <f t="shared" si="79"/>
        <v>1.00000012198964</v>
      </c>
      <c r="AO41" s="32">
        <f t="shared" si="80"/>
        <v>-0.000493942553510725</v>
      </c>
      <c r="AP41" s="30" t="str">
        <f t="shared" si="81"/>
        <v>418,996593896918-73,6735873062728i</v>
      </c>
      <c r="AQ41" s="32">
        <f t="shared" si="82"/>
        <v>52.5764484534728</v>
      </c>
      <c r="AR41" s="31">
        <f t="shared" si="83"/>
        <v>-9.97256923199585</v>
      </c>
      <c r="AS41" t="str">
        <f t="shared" si="58"/>
        <v>-0,000201496259351621</v>
      </c>
      <c r="AT41" t="str">
        <f t="shared" si="59"/>
        <v>0,0000239763428829114i</v>
      </c>
      <c r="AU41">
        <f t="shared" si="84"/>
        <v>2.39763428829114e-5</v>
      </c>
      <c r="AV41">
        <f t="shared" si="85"/>
        <v>1.5707963267949</v>
      </c>
      <c r="AW41" t="str">
        <f t="shared" si="60"/>
        <v>1+0,00122754477863529i</v>
      </c>
      <c r="AX41">
        <f t="shared" si="86"/>
        <v>1.00000075343281</v>
      </c>
      <c r="AY41">
        <f t="shared" si="87"/>
        <v>0.00122754416205394</v>
      </c>
      <c r="AZ41" t="str">
        <f t="shared" si="61"/>
        <v>1+0,0586870876083722i</v>
      </c>
      <c r="BA41">
        <f t="shared" si="88"/>
        <v>1.00172060688196</v>
      </c>
      <c r="BB41">
        <f t="shared" si="89"/>
        <v>0.0586198503145956</v>
      </c>
      <c r="BC41" s="30" t="str">
        <f t="shared" si="90"/>
        <v>-0,48288705056033+8,4045541342163i</v>
      </c>
      <c r="BD41" s="32">
        <f t="shared" si="91"/>
        <v>18.5046065622916</v>
      </c>
      <c r="BE41" s="31">
        <f t="shared" si="92"/>
        <v>93.2883369190634</v>
      </c>
      <c r="BF41" s="30" t="str">
        <f t="shared" si="93"/>
        <v>71,5025724397092+442,987888619309i</v>
      </c>
      <c r="BG41" s="68">
        <f t="shared" si="94"/>
        <v>53.0395354783067</v>
      </c>
      <c r="BH41" s="31">
        <f t="shared" si="95"/>
        <v>80.8309828694386</v>
      </c>
      <c r="BI41" s="30" t="str">
        <f t="shared" si="96"/>
        <v>416,865623355773+3557,05557673741i</v>
      </c>
      <c r="BJ41" s="68">
        <f t="shared" si="97"/>
        <v>71.0810550157643</v>
      </c>
      <c r="BK41" s="31">
        <f t="shared" si="98"/>
        <v>83.3157676870675</v>
      </c>
      <c r="BL41" s="32">
        <f t="shared" si="99"/>
        <v>53.0395354783067</v>
      </c>
      <c r="BM41" s="31">
        <f t="shared" si="100"/>
        <v>80.8309828694386</v>
      </c>
      <c r="BO41">
        <f t="shared" si="101"/>
        <v>0</v>
      </c>
      <c r="BP41">
        <f t="shared" si="102"/>
        <v>0</v>
      </c>
    </row>
    <row r="42" customFormat="1" spans="1:68">
      <c r="B42" s="89"/>
      <c r="N42" s="7">
        <v>24</v>
      </c>
      <c r="O42" s="18">
        <f t="shared" si="62"/>
        <v>17.3780082874938</v>
      </c>
      <c r="P42" s="86" t="str">
        <f t="shared" si="50"/>
        <v>54,5454545454545</v>
      </c>
      <c r="Q42" s="4" t="str">
        <f t="shared" si="51"/>
        <v>1+0,22234901072878i</v>
      </c>
      <c r="R42" s="4">
        <f t="shared" si="63"/>
        <v>1.0244213403537</v>
      </c>
      <c r="S42" s="4">
        <f t="shared" si="64"/>
        <v>0.218789764618054</v>
      </c>
      <c r="T42" s="4" t="str">
        <f t="shared" si="52"/>
        <v>1+0,00171208738261161i</v>
      </c>
      <c r="U42" s="4">
        <f t="shared" si="65"/>
        <v>1.00000146562053</v>
      </c>
      <c r="V42" s="4">
        <f t="shared" si="66"/>
        <v>0.00171208570976638</v>
      </c>
      <c r="W42" t="str">
        <f t="shared" si="53"/>
        <v>1-0,00491351608530117i</v>
      </c>
      <c r="X42" s="4">
        <f t="shared" si="67"/>
        <v>1.0000120712473</v>
      </c>
      <c r="Y42" s="4">
        <f t="shared" si="68"/>
        <v>-0.00491347654412343</v>
      </c>
      <c r="Z42" t="str">
        <f t="shared" si="54"/>
        <v>0,999999997534733+0,000339266586842224i</v>
      </c>
      <c r="AA42" s="4">
        <f t="shared" si="69"/>
        <v>1.00000005508564</v>
      </c>
      <c r="AB42" s="4">
        <f t="shared" si="70"/>
        <v>0.000339266574661874</v>
      </c>
      <c r="AC42" s="67" t="str">
        <f t="shared" si="71"/>
        <v>51,9352736946465-11,7408856958745i</v>
      </c>
      <c r="AD42" s="68">
        <f t="shared" si="72"/>
        <v>34.5257160661939</v>
      </c>
      <c r="AE42" s="31">
        <f t="shared" si="73"/>
        <v>-12.7385948395137</v>
      </c>
      <c r="AF42" s="32" t="str">
        <f t="shared" si="74"/>
        <v>432,040091031901</v>
      </c>
      <c r="AG42" s="32" t="str">
        <f t="shared" si="55"/>
        <v>1+0,181173268001228i</v>
      </c>
      <c r="AH42" s="32">
        <f t="shared" si="75"/>
        <v>1.01627936761416</v>
      </c>
      <c r="AI42" s="32">
        <f t="shared" si="76"/>
        <v>0.179229152432341</v>
      </c>
      <c r="AJ42" s="32" t="str">
        <f t="shared" si="56"/>
        <v>1+0,00171208738261161i</v>
      </c>
      <c r="AK42" s="32">
        <f t="shared" si="77"/>
        <v>1.00000146562053</v>
      </c>
      <c r="AL42" s="32">
        <f t="shared" si="78"/>
        <v>0.00171208570976638</v>
      </c>
      <c r="AM42" s="32" t="str">
        <f t="shared" si="57"/>
        <v>1-0,000505447994703062i</v>
      </c>
      <c r="AN42" s="32">
        <f t="shared" si="79"/>
        <v>1.00000012773883</v>
      </c>
      <c r="AO42" s="32">
        <f t="shared" si="80"/>
        <v>-0.000505447951659509</v>
      </c>
      <c r="AP42" s="30" t="str">
        <f t="shared" si="81"/>
        <v>418,401409016953-75,2818340169251i</v>
      </c>
      <c r="AQ42" s="32">
        <f t="shared" si="82"/>
        <v>52.5702326445401</v>
      </c>
      <c r="AR42" s="31">
        <f t="shared" si="83"/>
        <v>-10.1999387491394</v>
      </c>
      <c r="AS42" t="str">
        <f t="shared" si="58"/>
        <v>-0,000201496259351621</v>
      </c>
      <c r="AT42" t="str">
        <f t="shared" si="59"/>
        <v>0,0000245348236526039i</v>
      </c>
      <c r="AU42">
        <f t="shared" si="84"/>
        <v>2.45348236526039e-5</v>
      </c>
      <c r="AV42">
        <f t="shared" si="85"/>
        <v>1.5707963267949</v>
      </c>
      <c r="AW42" t="str">
        <f t="shared" si="60"/>
        <v>1+0,00125613796968833i</v>
      </c>
      <c r="AX42">
        <f t="shared" si="86"/>
        <v>1.00000078894099</v>
      </c>
      <c r="AY42">
        <f t="shared" si="87"/>
        <v>0.00125613730900954</v>
      </c>
      <c r="AZ42" t="str">
        <f t="shared" si="61"/>
        <v>1+0,0600540854870142i</v>
      </c>
      <c r="BA42">
        <f t="shared" si="88"/>
        <v>1.00180162366792</v>
      </c>
      <c r="BB42">
        <f t="shared" si="89"/>
        <v>0.0599820464245933</v>
      </c>
      <c r="BC42" s="30" t="str">
        <f t="shared" si="90"/>
        <v>-0,482887016267476+8,21327042572238i</v>
      </c>
      <c r="BD42" s="32">
        <f t="shared" si="91"/>
        <v>18.3053087196106</v>
      </c>
      <c r="BE42" s="31">
        <f t="shared" si="92"/>
        <v>93.3647467403918</v>
      </c>
      <c r="BF42" s="30" t="str">
        <f t="shared" si="93"/>
        <v>71,3521999042704+432,227968750056i</v>
      </c>
      <c r="BG42" s="68">
        <f t="shared" si="94"/>
        <v>52.8310247858045</v>
      </c>
      <c r="BH42" s="31">
        <f t="shared" si="95"/>
        <v>80.626151900878</v>
      </c>
      <c r="BI42" s="30" t="str">
        <f t="shared" si="96"/>
        <v>416,269452923048+3472,79653896709i</v>
      </c>
      <c r="BJ42" s="68">
        <f t="shared" si="97"/>
        <v>70.8755413641507</v>
      </c>
      <c r="BK42" s="31">
        <f t="shared" si="98"/>
        <v>83.1648079912524</v>
      </c>
      <c r="BL42" s="32">
        <f t="shared" si="99"/>
        <v>52.8310247858045</v>
      </c>
      <c r="BM42" s="31">
        <f t="shared" si="100"/>
        <v>80.626151900878</v>
      </c>
      <c r="BO42">
        <f t="shared" si="101"/>
        <v>0</v>
      </c>
      <c r="BP42">
        <f t="shared" si="102"/>
        <v>0</v>
      </c>
    </row>
    <row r="43" customFormat="1" spans="1:68">
      <c r="B43" s="12"/>
      <c r="N43" s="7">
        <v>25</v>
      </c>
      <c r="O43" s="18">
        <f t="shared" si="62"/>
        <v>17.7827941003892</v>
      </c>
      <c r="P43" s="86" t="str">
        <f t="shared" si="50"/>
        <v>54,5454545454545</v>
      </c>
      <c r="Q43" s="4" t="str">
        <f t="shared" si="51"/>
        <v>1+0,227528184519318i</v>
      </c>
      <c r="R43" s="4">
        <f t="shared" si="63"/>
        <v>1.0255579333956</v>
      </c>
      <c r="S43" s="4">
        <f t="shared" si="64"/>
        <v>0.223719497956833</v>
      </c>
      <c r="T43" s="4" t="str">
        <f t="shared" si="52"/>
        <v>1+0,00175196702079875i</v>
      </c>
      <c r="U43" s="4">
        <f t="shared" si="65"/>
        <v>1.00000153469304</v>
      </c>
      <c r="V43" s="4">
        <f t="shared" si="66"/>
        <v>0.00175196522831294</v>
      </c>
      <c r="W43" t="str">
        <f t="shared" si="53"/>
        <v>1-0,00502796657754743i</v>
      </c>
      <c r="X43" s="4">
        <f t="shared" si="67"/>
        <v>1.00001264014407</v>
      </c>
      <c r="Y43" s="4">
        <f t="shared" si="68"/>
        <v>-0.00502792420844105</v>
      </c>
      <c r="Z43" t="str">
        <f t="shared" si="54"/>
        <v>0,999999997418549+0,000347169120830656i</v>
      </c>
      <c r="AA43" s="4">
        <f t="shared" si="69"/>
        <v>1.00000005768175</v>
      </c>
      <c r="AB43" s="4">
        <f t="shared" si="70"/>
        <v>0.000347169107779176</v>
      </c>
      <c r="AC43" s="67" t="str">
        <f t="shared" si="71"/>
        <v>51,8183145273976-11,9877545552313i</v>
      </c>
      <c r="AD43" s="68">
        <f t="shared" si="72"/>
        <v>34.5160899531563</v>
      </c>
      <c r="AE43" s="31">
        <f t="shared" si="73"/>
        <v>-13.0257729757845</v>
      </c>
      <c r="AF43" s="32" t="str">
        <f t="shared" si="74"/>
        <v>432,040091031901</v>
      </c>
      <c r="AG43" s="32" t="str">
        <f t="shared" si="55"/>
        <v>1+0,185393335534259i</v>
      </c>
      <c r="AH43" s="32">
        <f t="shared" si="75"/>
        <v>1.0170401608887</v>
      </c>
      <c r="AI43" s="32">
        <f t="shared" si="76"/>
        <v>0.183312058572147</v>
      </c>
      <c r="AJ43" s="32" t="str">
        <f t="shared" si="56"/>
        <v>1+0,00175196702079875i</v>
      </c>
      <c r="AK43" s="32">
        <f t="shared" si="77"/>
        <v>1.00000153469304</v>
      </c>
      <c r="AL43" s="32">
        <f t="shared" si="78"/>
        <v>0.00175196522831294</v>
      </c>
      <c r="AM43" s="32" t="str">
        <f t="shared" si="57"/>
        <v>1-0,000517221390942001i</v>
      </c>
      <c r="AN43" s="32">
        <f t="shared" si="79"/>
        <v>1.00000013375897</v>
      </c>
      <c r="AO43" s="32">
        <f t="shared" si="80"/>
        <v>-0.000517221344820003</v>
      </c>
      <c r="AP43" s="30" t="str">
        <f t="shared" si="81"/>
        <v>417,779996125409-76,9201673868549i</v>
      </c>
      <c r="AQ43" s="32">
        <f t="shared" si="82"/>
        <v>52.5637334165301</v>
      </c>
      <c r="AR43" s="31">
        <f t="shared" si="83"/>
        <v>-10.4322616767352</v>
      </c>
      <c r="AS43" t="str">
        <f t="shared" si="58"/>
        <v>-0,000201496259351621</v>
      </c>
      <c r="AT43" t="str">
        <f t="shared" si="59"/>
        <v>0,0000251063131105535i</v>
      </c>
      <c r="AU43">
        <f t="shared" si="84"/>
        <v>2.51063131105535e-5</v>
      </c>
      <c r="AV43">
        <f t="shared" si="85"/>
        <v>1.5707963267949</v>
      </c>
      <c r="AW43" t="str">
        <f t="shared" si="60"/>
        <v>1+0,00128539718171983i</v>
      </c>
      <c r="AX43">
        <f t="shared" si="86"/>
        <v>1.00000082612262</v>
      </c>
      <c r="AY43">
        <f t="shared" si="87"/>
        <v>0.00128539647378978</v>
      </c>
      <c r="AZ43" t="str">
        <f t="shared" si="61"/>
        <v>1+0,0614529248366907i</v>
      </c>
      <c r="BA43">
        <f t="shared" si="88"/>
        <v>1.00188645163561</v>
      </c>
      <c r="BB43">
        <f t="shared" si="89"/>
        <v>0.0613757414382394</v>
      </c>
      <c r="BC43" s="30" t="str">
        <f t="shared" si="90"/>
        <v>-0,482886980358457+8,0263415019197i</v>
      </c>
      <c r="BD43" s="32">
        <f t="shared" si="91"/>
        <v>18.1060438468236</v>
      </c>
      <c r="BE43" s="31">
        <f t="shared" si="92"/>
        <v>93.4429231559482</v>
      </c>
      <c r="BF43" s="30" t="str">
        <f t="shared" si="93"/>
        <v>71,1954224720801+421,700219049234i</v>
      </c>
      <c r="BG43" s="68">
        <f t="shared" si="94"/>
        <v>52.6221337999799</v>
      </c>
      <c r="BH43" s="31">
        <f t="shared" si="95"/>
        <v>80.4171501801637</v>
      </c>
      <c r="BI43" s="30" t="str">
        <f t="shared" si="96"/>
        <v>415,647011048557+3390,38866893133i</v>
      </c>
      <c r="BJ43" s="68">
        <f t="shared" si="97"/>
        <v>70.6697772633537</v>
      </c>
      <c r="BK43" s="31">
        <f t="shared" si="98"/>
        <v>83.0106614792129</v>
      </c>
      <c r="BL43" s="32">
        <f t="shared" si="99"/>
        <v>52.6221337999799</v>
      </c>
      <c r="BM43" s="31">
        <f t="shared" si="100"/>
        <v>80.4171501801637</v>
      </c>
      <c r="BO43">
        <f t="shared" si="101"/>
        <v>0</v>
      </c>
      <c r="BP43">
        <f t="shared" si="102"/>
        <v>0</v>
      </c>
    </row>
    <row r="44" customFormat="1" spans="1:68">
      <c r="A44" t="s">
        <v>497</v>
      </c>
      <c r="B44" s="12">
        <f>(Isl*(Rsl_int+R_sl)*Fsw)</f>
        <v>60200</v>
      </c>
      <c r="C44" t="s">
        <v>244</v>
      </c>
      <c r="E44" t="s">
        <v>320</v>
      </c>
      <c r="N44" s="7">
        <v>26</v>
      </c>
      <c r="O44" s="18">
        <f t="shared" si="62"/>
        <v>18.1970085860998</v>
      </c>
      <c r="P44" s="86" t="str">
        <f t="shared" si="50"/>
        <v>54,5454545454545</v>
      </c>
      <c r="Q44" s="4" t="str">
        <f t="shared" si="51"/>
        <v>1+0,23282799676498i</v>
      </c>
      <c r="R44" s="4">
        <f t="shared" si="63"/>
        <v>1.02674674388458</v>
      </c>
      <c r="S44" s="4">
        <f t="shared" si="64"/>
        <v>0.228752635342207</v>
      </c>
      <c r="T44" s="4" t="str">
        <f t="shared" si="52"/>
        <v>1+0,00179277557509035i</v>
      </c>
      <c r="U44" s="4">
        <f t="shared" si="65"/>
        <v>1.00000160702084</v>
      </c>
      <c r="V44" s="4">
        <f t="shared" si="66"/>
        <v>0.00179277365440737</v>
      </c>
      <c r="W44" t="str">
        <f t="shared" si="53"/>
        <v>1-0,00514508296422614i</v>
      </c>
      <c r="X44" s="4">
        <f t="shared" si="67"/>
        <v>1.00001323585176</v>
      </c>
      <c r="Y44" s="4">
        <f t="shared" si="68"/>
        <v>-0.00514503756494316</v>
      </c>
      <c r="Z44" t="str">
        <f t="shared" si="54"/>
        <v>0,999999997296889+0,000355255728482281i</v>
      </c>
      <c r="AA44" s="4">
        <f t="shared" si="69"/>
        <v>1.0000000604002</v>
      </c>
      <c r="AB44" s="4">
        <f t="shared" si="70"/>
        <v>0.000355255714497368</v>
      </c>
      <c r="AC44" s="67" t="str">
        <f t="shared" si="71"/>
        <v>51,6963973685562-12,2385995086084i</v>
      </c>
      <c r="AD44" s="68">
        <f t="shared" si="72"/>
        <v>34.5060330176092</v>
      </c>
      <c r="AE44" s="31">
        <f t="shared" si="73"/>
        <v>-13.31898578458</v>
      </c>
      <c r="AF44" s="32" t="str">
        <f t="shared" si="74"/>
        <v>432,040091031901</v>
      </c>
      <c r="AG44" s="32" t="str">
        <f t="shared" si="55"/>
        <v>1+0,189711701067762i</v>
      </c>
      <c r="AH44" s="32">
        <f t="shared" si="75"/>
        <v>1.01783619975025</v>
      </c>
      <c r="AI44" s="32">
        <f t="shared" si="76"/>
        <v>0.187483677845064</v>
      </c>
      <c r="AJ44" s="32" t="str">
        <f t="shared" si="56"/>
        <v>1+0,00179277557509035i</v>
      </c>
      <c r="AK44" s="32">
        <f t="shared" si="77"/>
        <v>1.00000160702084</v>
      </c>
      <c r="AL44" s="32">
        <f t="shared" si="78"/>
        <v>0.00179277365440737</v>
      </c>
      <c r="AM44" s="32" t="str">
        <f t="shared" si="57"/>
        <v>1-0,000529269024808654i</v>
      </c>
      <c r="AN44" s="32">
        <f t="shared" si="79"/>
        <v>1.00000014006284</v>
      </c>
      <c r="AO44" s="32">
        <f t="shared" si="80"/>
        <v>-0.000529268975388043</v>
      </c>
      <c r="AP44" s="30" t="str">
        <f t="shared" si="81"/>
        <v>417,131285979071-78,5888003466695i</v>
      </c>
      <c r="AQ44" s="32">
        <f t="shared" si="82"/>
        <v>52.5569382998434</v>
      </c>
      <c r="AR44" s="31">
        <f t="shared" si="83"/>
        <v>-10.6696299826097</v>
      </c>
      <c r="AS44" t="str">
        <f t="shared" si="58"/>
        <v>-0,000201496259351621</v>
      </c>
      <c r="AT44" t="str">
        <f t="shared" si="59"/>
        <v>0,0000256911142680358i</v>
      </c>
      <c r="AU44">
        <f t="shared" si="84"/>
        <v>2.56911142680358e-5</v>
      </c>
      <c r="AV44">
        <f t="shared" si="85"/>
        <v>1.5707963267949</v>
      </c>
      <c r="AW44" t="str">
        <f t="shared" si="60"/>
        <v>1+0,00131533792835134i</v>
      </c>
      <c r="AX44">
        <f t="shared" si="86"/>
        <v>1.00000086505656</v>
      </c>
      <c r="AY44">
        <f t="shared" si="87"/>
        <v>0.00131533716979066</v>
      </c>
      <c r="AZ44" t="str">
        <f t="shared" si="61"/>
        <v>1+0,0628843473405416i</v>
      </c>
      <c r="BA44">
        <f t="shared" si="88"/>
        <v>1.00197526972498</v>
      </c>
      <c r="BB44">
        <f t="shared" si="89"/>
        <v>0.0628016526421002</v>
      </c>
      <c r="BC44" s="30" t="str">
        <f t="shared" si="90"/>
        <v>-0,482886942757103+7,84366825061811i</v>
      </c>
      <c r="BD44" s="32">
        <f t="shared" si="91"/>
        <v>17.9068134860515</v>
      </c>
      <c r="BE44" s="31">
        <f t="shared" si="92"/>
        <v>93.5229063743733</v>
      </c>
      <c r="BF44" s="30" t="str">
        <f t="shared" si="93"/>
        <v>71,0319991208437+411,399250611422i</v>
      </c>
      <c r="BG44" s="68">
        <f t="shared" si="94"/>
        <v>52.4128465036607</v>
      </c>
      <c r="BH44" s="31">
        <f t="shared" si="95"/>
        <v>80.2039205897932</v>
      </c>
      <c r="BI44" s="30" t="str">
        <f t="shared" si="96"/>
        <v>414,997226718565+3309,78892970789i</v>
      </c>
      <c r="BJ44" s="68">
        <f t="shared" si="97"/>
        <v>70.4637517858949</v>
      </c>
      <c r="BK44" s="31">
        <f t="shared" si="98"/>
        <v>82.8532763917635</v>
      </c>
      <c r="BL44" s="32">
        <f t="shared" si="99"/>
        <v>52.4128465036607</v>
      </c>
      <c r="BM44" s="31">
        <f t="shared" si="100"/>
        <v>80.2039205897932</v>
      </c>
      <c r="BO44">
        <f t="shared" si="101"/>
        <v>0</v>
      </c>
      <c r="BP44">
        <f t="shared" si="102"/>
        <v>0</v>
      </c>
    </row>
    <row r="45" spans="1:68">
      <c r="A45" t="s">
        <v>498</v>
      </c>
      <c r="B45" s="12">
        <f>(R_cs*VIN_var*Acs)/Lm</f>
        <v>4000</v>
      </c>
      <c r="C45" t="s">
        <v>244</v>
      </c>
      <c r="E45" t="s">
        <v>322</v>
      </c>
      <c r="N45" s="7">
        <v>27</v>
      </c>
      <c r="O45" s="18">
        <f t="shared" si="62"/>
        <v>18.6208713666287</v>
      </c>
      <c r="P45" s="86" t="str">
        <f t="shared" si="50"/>
        <v>54,5454545454545</v>
      </c>
      <c r="Q45" s="4" t="str">
        <f t="shared" si="51"/>
        <v>1+0,23825125749637i</v>
      </c>
      <c r="R45" s="4">
        <f t="shared" si="63"/>
        <v>1.02799010778246</v>
      </c>
      <c r="S45" s="4">
        <f t="shared" si="64"/>
        <v>0.233890824939049</v>
      </c>
      <c r="T45" s="4" t="str">
        <f t="shared" si="52"/>
        <v>1+0,00183453468272205i</v>
      </c>
      <c r="U45" s="4">
        <f t="shared" si="65"/>
        <v>1.00000168275734</v>
      </c>
      <c r="V45" s="4">
        <f t="shared" si="66"/>
        <v>0.00183453262467334</v>
      </c>
      <c r="W45" t="str">
        <f t="shared" si="53"/>
        <v>1-0,00526492734199569i</v>
      </c>
      <c r="X45" s="4">
        <f t="shared" si="67"/>
        <v>1.00001385963391</v>
      </c>
      <c r="Y45" s="4">
        <f t="shared" si="68"/>
        <v>-0.00526487869582395</v>
      </c>
      <c r="Z45" t="str">
        <f t="shared" si="54"/>
        <v>0,999999997169495+0,000363530697423512i</v>
      </c>
      <c r="AA45" s="4">
        <f t="shared" si="69"/>
        <v>1.00000006324678</v>
      </c>
      <c r="AB45" s="4">
        <f t="shared" si="70"/>
        <v>0.000363530682438408</v>
      </c>
      <c r="AC45" s="67" t="str">
        <f t="shared" si="71"/>
        <v>51,5693378048167-12,4934010190696i</v>
      </c>
      <c r="AD45" s="68">
        <f t="shared" si="72"/>
        <v>34.495527043422</v>
      </c>
      <c r="AE45" s="31">
        <f t="shared" si="73"/>
        <v>-13.6183302618141</v>
      </c>
      <c r="AF45" s="32" t="str">
        <f t="shared" si="74"/>
        <v>432,040091031901</v>
      </c>
      <c r="AG45" s="32" t="str">
        <f t="shared" si="55"/>
        <v>1+0,194130654256302i</v>
      </c>
      <c r="AH45" s="32">
        <f t="shared" si="75"/>
        <v>1.01866908803692</v>
      </c>
      <c r="AI45" s="32">
        <f t="shared" si="76"/>
        <v>0.191745641046028</v>
      </c>
      <c r="AJ45" s="32" t="str">
        <f t="shared" si="56"/>
        <v>1+0,00183453468272205i</v>
      </c>
      <c r="AK45" s="32">
        <f t="shared" si="77"/>
        <v>1.00000168275734</v>
      </c>
      <c r="AL45" s="32">
        <f t="shared" si="78"/>
        <v>0.00183453262467334</v>
      </c>
      <c r="AM45" s="32" t="str">
        <f t="shared" si="57"/>
        <v>1-0,000541597284117964i</v>
      </c>
      <c r="AN45" s="32">
        <f t="shared" si="79"/>
        <v>1.0000001466638</v>
      </c>
      <c r="AO45" s="32">
        <f t="shared" si="80"/>
        <v>-0.000541597231162826</v>
      </c>
      <c r="AP45" s="30" t="str">
        <f t="shared" si="81"/>
        <v>416,45417377563-80,2879204314392i</v>
      </c>
      <c r="AQ45" s="32">
        <f t="shared" si="82"/>
        <v>52.5498343183719</v>
      </c>
      <c r="AR45" s="31">
        <f t="shared" si="83"/>
        <v>-10.9121362307366</v>
      </c>
      <c r="AS45" t="str">
        <f t="shared" si="58"/>
        <v>-0,000201496259351621</v>
      </c>
      <c r="AT45" t="str">
        <f t="shared" si="59"/>
        <v>0,0000262895371943653i</v>
      </c>
      <c r="AU45">
        <f t="shared" si="84"/>
        <v>2.62895371943653e-5</v>
      </c>
      <c r="AV45">
        <f t="shared" si="85"/>
        <v>1.5707963267949</v>
      </c>
      <c r="AW45" t="str">
        <f t="shared" si="60"/>
        <v>1+0,00134597608456301i</v>
      </c>
      <c r="AX45">
        <f t="shared" si="86"/>
        <v>1.0000009058254</v>
      </c>
      <c r="AY45">
        <f t="shared" si="87"/>
        <v>0.00134597527175064</v>
      </c>
      <c r="AZ45" t="str">
        <f t="shared" si="61"/>
        <v>1+0,064349111957725i</v>
      </c>
      <c r="BA45">
        <f t="shared" si="88"/>
        <v>1.00206826524431</v>
      </c>
      <c r="BB45">
        <f t="shared" si="89"/>
        <v>0.0642605128665199</v>
      </c>
      <c r="BC45" s="30" t="str">
        <f t="shared" si="90"/>
        <v>-0,482886903383653+7,66515381604151i</v>
      </c>
      <c r="BD45" s="32">
        <f t="shared" si="91"/>
        <v>17.7076192509712</v>
      </c>
      <c r="BE45" s="31">
        <f t="shared" si="92"/>
        <v>93.6047374741974</v>
      </c>
      <c r="BF45" s="30" t="str">
        <f t="shared" si="93"/>
        <v>70,8616826545448+401,319806196153i</v>
      </c>
      <c r="BG45" s="68">
        <f t="shared" si="94"/>
        <v>52.2031462943932</v>
      </c>
      <c r="BH45" s="31">
        <f t="shared" si="95"/>
        <v>79.9864072123834</v>
      </c>
      <c r="BI45" s="30" t="str">
        <f t="shared" si="96"/>
        <v>414,318993301372+3230,95528459894i</v>
      </c>
      <c r="BJ45" s="68">
        <f t="shared" si="97"/>
        <v>70.2574535693431</v>
      </c>
      <c r="BK45" s="31">
        <f t="shared" si="98"/>
        <v>82.6926012434608</v>
      </c>
      <c r="BL45" s="32">
        <f t="shared" si="99"/>
        <v>52.2031462943932</v>
      </c>
      <c r="BM45" s="31">
        <f t="shared" si="100"/>
        <v>79.9864072123834</v>
      </c>
      <c r="BO45">
        <f t="shared" si="101"/>
        <v>0</v>
      </c>
      <c r="BP45">
        <f t="shared" si="102"/>
        <v>0</v>
      </c>
    </row>
    <row r="46" spans="1:68">
      <c r="B46" s="12"/>
      <c r="N46" s="7">
        <v>28</v>
      </c>
      <c r="O46" s="18">
        <f t="shared" si="62"/>
        <v>19.0546071796325</v>
      </c>
      <c r="P46" s="86" t="str">
        <f t="shared" si="50"/>
        <v>54,5454545454545</v>
      </c>
      <c r="Q46" s="4" t="str">
        <f t="shared" si="51"/>
        <v>1+0,243800842198115i</v>
      </c>
      <c r="R46" s="4">
        <f t="shared" si="63"/>
        <v>1.02929045981031</v>
      </c>
      <c r="S46" s="4">
        <f t="shared" si="64"/>
        <v>0.239135705376965</v>
      </c>
      <c r="T46" s="4" t="str">
        <f t="shared" si="52"/>
        <v>1+0,00187726648492549i</v>
      </c>
      <c r="U46" s="4">
        <f t="shared" si="65"/>
        <v>1.00000176206318</v>
      </c>
      <c r="V46" s="4">
        <f t="shared" si="66"/>
        <v>0.00187726427968678</v>
      </c>
      <c r="W46" t="str">
        <f t="shared" si="53"/>
        <v>1-0,00538756325393158i</v>
      </c>
      <c r="X46" s="4">
        <f t="shared" si="67"/>
        <v>1.0000145128136</v>
      </c>
      <c r="Y46" s="4">
        <f t="shared" si="68"/>
        <v>-0.00538751112866029</v>
      </c>
      <c r="Z46" t="str">
        <f t="shared" si="54"/>
        <v>0,999999997036098+0,000371998415152418i</v>
      </c>
      <c r="AA46" s="4">
        <f t="shared" si="69"/>
        <v>1.00000006622751</v>
      </c>
      <c r="AB46" s="4">
        <f t="shared" si="70"/>
        <v>0.000371998399095589</v>
      </c>
      <c r="AC46" s="67" t="str">
        <f t="shared" si="71"/>
        <v>51,4369469049832-12,752132707637i</v>
      </c>
      <c r="AD46" s="68">
        <f t="shared" si="72"/>
        <v>34.4845531411783</v>
      </c>
      <c r="AE46" s="31">
        <f t="shared" si="73"/>
        <v>-13.9239029167331</v>
      </c>
      <c r="AF46" s="32" t="str">
        <f t="shared" si="74"/>
        <v>432,040091031901</v>
      </c>
      <c r="AG46" s="32" t="str">
        <f t="shared" si="55"/>
        <v>1+0,198652538087353i</v>
      </c>
      <c r="AH46" s="32">
        <f t="shared" si="75"/>
        <v>1.01954049987656</v>
      </c>
      <c r="AI46" s="32">
        <f t="shared" si="76"/>
        <v>0.196099588299174</v>
      </c>
      <c r="AJ46" s="32" t="str">
        <f t="shared" si="56"/>
        <v>1+0,00187726648492549i</v>
      </c>
      <c r="AK46" s="32">
        <f t="shared" si="77"/>
        <v>1.00000176206318</v>
      </c>
      <c r="AL46" s="32">
        <f t="shared" si="78"/>
        <v>0.00187726427968678</v>
      </c>
      <c r="AM46" s="32" t="str">
        <f t="shared" si="57"/>
        <v>1-0,000554212705476206i</v>
      </c>
      <c r="AN46" s="32">
        <f t="shared" si="79"/>
        <v>1.00000015357585</v>
      </c>
      <c r="AO46" s="32">
        <f t="shared" si="80"/>
        <v>-0.000554212648733754</v>
      </c>
      <c r="AP46" s="30" t="str">
        <f t="shared" si="81"/>
        <v>415,747518733716-82,0176875246587i</v>
      </c>
      <c r="AQ46" s="32">
        <f t="shared" si="82"/>
        <v>52.5424079728289</v>
      </c>
      <c r="AR46" s="31">
        <f t="shared" si="83"/>
        <v>-11.1598734992642</v>
      </c>
      <c r="AS46" t="str">
        <f t="shared" si="58"/>
        <v>-0,000201496259351621</v>
      </c>
      <c r="AT46" t="str">
        <f t="shared" si="59"/>
        <v>0,0000269018991812982i</v>
      </c>
      <c r="AU46">
        <f t="shared" si="84"/>
        <v>2.69018991812982e-5</v>
      </c>
      <c r="AV46">
        <f t="shared" si="85"/>
        <v>1.5707963267949</v>
      </c>
      <c r="AW46" t="str">
        <f t="shared" si="60"/>
        <v>1+0,00137732789511083i</v>
      </c>
      <c r="AX46">
        <f t="shared" si="86"/>
        <v>1.00000094851562</v>
      </c>
      <c r="AY46">
        <f t="shared" si="87"/>
        <v>0.00137732702416673</v>
      </c>
      <c r="AZ46" t="str">
        <f t="shared" si="61"/>
        <v>1+0,0658479953258302i</v>
      </c>
      <c r="BA46">
        <f t="shared" si="88"/>
        <v>1.00216563425834</v>
      </c>
      <c r="BB46">
        <f t="shared" si="89"/>
        <v>0.0657530707656709</v>
      </c>
      <c r="BC46" s="30" t="str">
        <f t="shared" si="90"/>
        <v>-0,482886862154607+7,49070354747356i</v>
      </c>
      <c r="BD46" s="32">
        <f t="shared" si="91"/>
        <v>17.5084628300802</v>
      </c>
      <c r="BE46" s="31">
        <f t="shared" si="92"/>
        <v>93.6884584194039</v>
      </c>
      <c r="BF46" s="30" t="str">
        <f t="shared" si="93"/>
        <v>70,6842198211896+391,456758001337i</v>
      </c>
      <c r="BG46" s="68">
        <f t="shared" si="94"/>
        <v>51.9930159712586</v>
      </c>
      <c r="BH46" s="31">
        <f t="shared" si="95"/>
        <v>79.7645555026708</v>
      </c>
      <c r="BI46" s="30" t="str">
        <f t="shared" si="96"/>
        <v>413,611168126651+3153,84667720194i</v>
      </c>
      <c r="BJ46" s="68">
        <f t="shared" si="97"/>
        <v>70.0508708029091</v>
      </c>
      <c r="BK46" s="31">
        <f t="shared" si="98"/>
        <v>82.5285849201397</v>
      </c>
      <c r="BL46" s="32">
        <f t="shared" si="99"/>
        <v>51.9930159712586</v>
      </c>
      <c r="BM46" s="31">
        <f t="shared" si="100"/>
        <v>79.7645555026708</v>
      </c>
      <c r="BO46">
        <f t="shared" si="101"/>
        <v>0</v>
      </c>
      <c r="BP46">
        <f t="shared" si="102"/>
        <v>0</v>
      </c>
    </row>
    <row r="47" spans="1:68">
      <c r="A47" t="s">
        <v>499</v>
      </c>
      <c r="B47" s="12">
        <f>2*PI()*Fsw</f>
        <v>4398229.71502571</v>
      </c>
      <c r="C47" t="s">
        <v>324</v>
      </c>
      <c r="N47" s="7">
        <v>29</v>
      </c>
      <c r="O47" s="18">
        <f t="shared" si="62"/>
        <v>19.4984459975805</v>
      </c>
      <c r="P47" s="86" t="str">
        <f t="shared" si="50"/>
        <v>54,5454545454545</v>
      </c>
      <c r="Q47" s="4" t="str">
        <f t="shared" si="51"/>
        <v>1+0,249479693333476i</v>
      </c>
      <c r="R47" s="4">
        <f t="shared" si="63"/>
        <v>1.03065033711039</v>
      </c>
      <c r="S47" s="4">
        <f t="shared" si="64"/>
        <v>0.244488902815041</v>
      </c>
      <c r="T47" s="4" t="str">
        <f t="shared" si="52"/>
        <v>1+0,00192099363866777i</v>
      </c>
      <c r="U47" s="4">
        <f t="shared" si="65"/>
        <v>1.00000184510658</v>
      </c>
      <c r="V47" s="4">
        <f t="shared" si="66"/>
        <v>0.00192099127571216</v>
      </c>
      <c r="W47" t="str">
        <f t="shared" si="53"/>
        <v>1-0,00551305572321744i</v>
      </c>
      <c r="X47" s="4">
        <f t="shared" si="67"/>
        <v>1.00001519677623</v>
      </c>
      <c r="Y47" s="4">
        <f t="shared" si="68"/>
        <v>-0.0055129998700288</v>
      </c>
      <c r="Z47" t="str">
        <f t="shared" si="54"/>
        <v>0,999999996896413+0,000380663371365014i</v>
      </c>
      <c r="AA47" s="4">
        <f t="shared" si="69"/>
        <v>1.00000006934871</v>
      </c>
      <c r="AB47" s="4">
        <f t="shared" si="70"/>
        <v>0.000380663354159813</v>
      </c>
      <c r="AC47" s="67" t="str">
        <f t="shared" si="71"/>
        <v>51,2990313325711-13,0147609101647i</v>
      </c>
      <c r="AD47" s="68">
        <f t="shared" si="72"/>
        <v>34.4730917320912</v>
      </c>
      <c r="AE47" s="31">
        <f t="shared" si="73"/>
        <v>-14.2357996051238</v>
      </c>
      <c r="AF47" s="32" t="str">
        <f t="shared" si="74"/>
        <v>432,040091031901</v>
      </c>
      <c r="AG47" s="32" t="str">
        <f t="shared" si="55"/>
        <v>1+0,203279750123573i</v>
      </c>
      <c r="AH47" s="32">
        <f t="shared" si="75"/>
        <v>1.02045218252023</v>
      </c>
      <c r="AI47" s="32">
        <f t="shared" si="76"/>
        <v>0.200547167511028</v>
      </c>
      <c r="AJ47" s="32" t="str">
        <f t="shared" si="56"/>
        <v>1+0,00192099363866777i</v>
      </c>
      <c r="AK47" s="32">
        <f t="shared" si="77"/>
        <v>1.00000184510658</v>
      </c>
      <c r="AL47" s="32">
        <f t="shared" si="78"/>
        <v>0.00192099127571216</v>
      </c>
      <c r="AM47" s="32" t="str">
        <f t="shared" si="57"/>
        <v>1-0,000567121977746755i</v>
      </c>
      <c r="AN47" s="32">
        <f t="shared" si="79"/>
        <v>1.00000016081366</v>
      </c>
      <c r="AO47" s="32">
        <f t="shared" si="80"/>
        <v>-0.000567121916946123</v>
      </c>
      <c r="AP47" s="30" t="str">
        <f t="shared" si="81"/>
        <v>415,010143750654-83,7782314847512i</v>
      </c>
      <c r="AQ47" s="32">
        <f t="shared" si="82"/>
        <v>52.5346452239018</v>
      </c>
      <c r="AR47" s="31">
        <f t="shared" si="83"/>
        <v>-11.4129352914157</v>
      </c>
      <c r="AS47" t="str">
        <f t="shared" si="58"/>
        <v>-0,000201496259351621</v>
      </c>
      <c r="AT47" t="str">
        <f t="shared" si="59"/>
        <v>0,0000275285249112658i</v>
      </c>
      <c r="AU47">
        <f t="shared" si="84"/>
        <v>2.75285249112658e-5</v>
      </c>
      <c r="AV47">
        <f t="shared" si="85"/>
        <v>1.5707963267949</v>
      </c>
      <c r="AW47" t="str">
        <f t="shared" si="60"/>
        <v>1+0,0014094099831397i</v>
      </c>
      <c r="AX47">
        <f t="shared" si="86"/>
        <v>1.00000099321776</v>
      </c>
      <c r="AY47">
        <f t="shared" si="87"/>
        <v>0.00140940904990633</v>
      </c>
      <c r="AZ47" t="str">
        <f t="shared" si="61"/>
        <v>1+0,0673817921726575i</v>
      </c>
      <c r="BA47">
        <f t="shared" si="88"/>
        <v>1.00226758199415</v>
      </c>
      <c r="BB47">
        <f t="shared" si="89"/>
        <v>0.0672800910984036</v>
      </c>
      <c r="BC47" s="30" t="str">
        <f t="shared" si="90"/>
        <v>-0,482886818982494+7,32022494907227i</v>
      </c>
      <c r="BD47" s="32">
        <f t="shared" si="91"/>
        <v>17.3093459901052</v>
      </c>
      <c r="BE47" s="31">
        <f t="shared" si="92"/>
        <v>93.7741120750271</v>
      </c>
      <c r="BF47" s="30" t="str">
        <f t="shared" si="93"/>
        <v>70,4993514637296+381,805105519654i</v>
      </c>
      <c r="BG47" s="68">
        <f t="shared" si="94"/>
        <v>51.7824377221964</v>
      </c>
      <c r="BH47" s="31">
        <f t="shared" si="95"/>
        <v>79.5383124699033</v>
      </c>
      <c r="BI47" s="30" t="str">
        <f t="shared" si="96"/>
        <v>412,872572142607+3078,42301210326i</v>
      </c>
      <c r="BJ47" s="68">
        <f t="shared" si="97"/>
        <v>69.843991214007</v>
      </c>
      <c r="BK47" s="31">
        <f t="shared" si="98"/>
        <v>82.3611767836114</v>
      </c>
      <c r="BL47" s="32">
        <f t="shared" si="99"/>
        <v>51.7824377221964</v>
      </c>
      <c r="BM47" s="31">
        <f t="shared" si="100"/>
        <v>79.5383124699033</v>
      </c>
      <c r="BO47">
        <f t="shared" si="101"/>
        <v>0</v>
      </c>
      <c r="BP47">
        <f t="shared" si="102"/>
        <v>0</v>
      </c>
    </row>
    <row r="48" spans="1:68">
      <c r="A48" t="s">
        <v>500</v>
      </c>
      <c r="B48" s="12">
        <f>1/(PI()*(((1-DC_VIN_Var)*(1+(B44/B45)))-0.5))</f>
        <v>0.146349372958065</v>
      </c>
      <c r="N48" s="7">
        <v>30</v>
      </c>
      <c r="O48" s="18">
        <f t="shared" si="62"/>
        <v>19.9526231496888</v>
      </c>
      <c r="P48" s="86" t="str">
        <f t="shared" si="50"/>
        <v>54,5454545454545</v>
      </c>
      <c r="Q48" s="4" t="str">
        <f t="shared" si="51"/>
        <v>1+0,255290821904498i</v>
      </c>
      <c r="R48" s="4">
        <f t="shared" si="63"/>
        <v>1.03207238299873</v>
      </c>
      <c r="S48" s="4">
        <f t="shared" si="64"/>
        <v>0.24995202781959</v>
      </c>
      <c r="T48" s="4" t="str">
        <f t="shared" si="52"/>
        <v>1+0,00196573932866464i</v>
      </c>
      <c r="U48" s="4">
        <f t="shared" si="65"/>
        <v>1.00000193206369</v>
      </c>
      <c r="V48" s="4">
        <f t="shared" si="66"/>
        <v>0.00196573679671235</v>
      </c>
      <c r="W48" t="str">
        <f t="shared" si="53"/>
        <v>1-0,00564147128762173i</v>
      </c>
      <c r="X48" s="4">
        <f t="shared" si="67"/>
        <v>1.00001591297253</v>
      </c>
      <c r="Y48" s="4">
        <f t="shared" si="68"/>
        <v>-0.00564141143990328</v>
      </c>
      <c r="Z48" t="str">
        <f t="shared" si="54"/>
        <v>0,999999996750146+0,000389530160335786i</v>
      </c>
      <c r="AA48" s="4">
        <f t="shared" si="69"/>
        <v>1.00000007261702</v>
      </c>
      <c r="AB48" s="4">
        <f t="shared" si="70"/>
        <v>0.00038953014190008</v>
      </c>
      <c r="AC48" s="67" t="str">
        <f t="shared" si="71"/>
        <v>51,1553934852714-13,2812442206133i</v>
      </c>
      <c r="AD48" s="68">
        <f t="shared" si="72"/>
        <v>34.4611225323722</v>
      </c>
      <c r="AE48" s="31">
        <f t="shared" si="73"/>
        <v>-14.5541153518411</v>
      </c>
      <c r="AF48" s="32" t="str">
        <f t="shared" si="74"/>
        <v>432,040091031901</v>
      </c>
      <c r="AG48" s="32" t="str">
        <f t="shared" si="55"/>
        <v>1+0,208014743774035i</v>
      </c>
      <c r="AH48" s="32">
        <f t="shared" si="75"/>
        <v>1.02140595926761</v>
      </c>
      <c r="AI48" s="32">
        <f t="shared" si="76"/>
        <v>0.205090032693163</v>
      </c>
      <c r="AJ48" s="32" t="str">
        <f t="shared" si="56"/>
        <v>1+0,00196573932866464i</v>
      </c>
      <c r="AK48" s="32">
        <f t="shared" si="77"/>
        <v>1.00000193206369</v>
      </c>
      <c r="AL48" s="32">
        <f t="shared" si="78"/>
        <v>0.00196573679671235</v>
      </c>
      <c r="AM48" s="32" t="str">
        <f t="shared" si="57"/>
        <v>1-0,000580331945596658i</v>
      </c>
      <c r="AN48" s="32">
        <f t="shared" si="79"/>
        <v>1.00000016839257</v>
      </c>
      <c r="AO48" s="32">
        <f t="shared" si="80"/>
        <v>-0.000580331880447607</v>
      </c>
      <c r="AP48" s="30" t="str">
        <f t="shared" si="81"/>
        <v>414,240835147945-85,5696496521451i</v>
      </c>
      <c r="AQ48" s="32">
        <f t="shared" si="82"/>
        <v>52.5265314752661</v>
      </c>
      <c r="AR48" s="31">
        <f t="shared" si="83"/>
        <v>-11.6714154388997</v>
      </c>
      <c r="AS48" t="str">
        <f t="shared" si="58"/>
        <v>-0,000201496259351621</v>
      </c>
      <c r="AT48" t="str">
        <f t="shared" si="59"/>
        <v>0,0000281697466295244i</v>
      </c>
      <c r="AU48">
        <f t="shared" si="84"/>
        <v>2.81697466295244e-5</v>
      </c>
      <c r="AV48">
        <f t="shared" si="85"/>
        <v>1.5707963267949</v>
      </c>
      <c r="AW48" t="str">
        <f t="shared" si="60"/>
        <v>1+0,00144223935899739i</v>
      </c>
      <c r="AX48">
        <f t="shared" si="86"/>
        <v>1.00000104002664</v>
      </c>
      <c r="AY48">
        <f t="shared" si="87"/>
        <v>0.00144223835901988</v>
      </c>
      <c r="AZ48" t="str">
        <f t="shared" si="61"/>
        <v>1+0,0689513157375987i</v>
      </c>
      <c r="BA48">
        <f t="shared" si="88"/>
        <v>1.00237432326549</v>
      </c>
      <c r="BB48">
        <f t="shared" si="89"/>
        <v>0.0688423550095405</v>
      </c>
      <c r="BC48" s="30" t="str">
        <f t="shared" si="90"/>
        <v>-0,482886773775755+7,1536276308279i</v>
      </c>
      <c r="BD48" s="32">
        <f t="shared" si="91"/>
        <v>17.1102705795604</v>
      </c>
      <c r="BE48" s="31">
        <f t="shared" si="92"/>
        <v>93.8617422227643</v>
      </c>
      <c r="BF48" s="30" t="str">
        <f t="shared" si="93"/>
        <v>70,3068127070207+372,359973475531i</v>
      </c>
      <c r="BG48" s="68">
        <f t="shared" si="94"/>
        <v>51.5713931119326</v>
      </c>
      <c r="BH48" s="31">
        <f t="shared" si="95"/>
        <v>79.3076268709232</v>
      </c>
      <c r="BI48" s="30" t="str">
        <f t="shared" si="96"/>
        <v>412,101989661083+3004,64513618521i</v>
      </c>
      <c r="BJ48" s="68">
        <f t="shared" si="97"/>
        <v>69.6368020548265</v>
      </c>
      <c r="BK48" s="31">
        <f t="shared" si="98"/>
        <v>82.1903267838646</v>
      </c>
      <c r="BL48" s="32">
        <f t="shared" si="99"/>
        <v>51.5713931119326</v>
      </c>
      <c r="BM48" s="31">
        <f t="shared" si="100"/>
        <v>79.3076268709232</v>
      </c>
      <c r="BO48">
        <f t="shared" si="101"/>
        <v>0</v>
      </c>
      <c r="BP48">
        <f t="shared" si="102"/>
        <v>0</v>
      </c>
    </row>
    <row r="49" spans="1:68">
      <c r="N49" s="7">
        <v>31</v>
      </c>
      <c r="O49" s="18">
        <f t="shared" si="62"/>
        <v>20.4173794466953</v>
      </c>
      <c r="P49" s="86" t="str">
        <f t="shared" si="50"/>
        <v>54,5454545454545</v>
      </c>
      <c r="Q49" s="4" t="str">
        <f t="shared" si="51"/>
        <v>1+0,261237309048466i</v>
      </c>
      <c r="R49" s="4">
        <f t="shared" si="63"/>
        <v>1.03355935080618</v>
      </c>
      <c r="S49" s="4">
        <f t="shared" si="64"/>
        <v>0.255526672049376</v>
      </c>
      <c r="T49" s="4" t="str">
        <f t="shared" si="52"/>
        <v>1+0,00201152727967319i</v>
      </c>
      <c r="U49" s="4">
        <f t="shared" si="65"/>
        <v>1.00000202311895</v>
      </c>
      <c r="V49" s="4">
        <f t="shared" si="66"/>
        <v>0.00201152456663772</v>
      </c>
      <c r="W49" t="str">
        <f t="shared" si="53"/>
        <v>1-0,00577287803477637i</v>
      </c>
      <c r="X49" s="4">
        <f t="shared" si="67"/>
        <v>1.00001666292158</v>
      </c>
      <c r="Y49" s="4">
        <f t="shared" si="68"/>
        <v>-0.00577281390684839</v>
      </c>
      <c r="Z49" t="str">
        <f t="shared" si="54"/>
        <v>0,999999996596985+0,000398603483353607i</v>
      </c>
      <c r="AA49" s="4">
        <f t="shared" si="69"/>
        <v>1.00000007603935</v>
      </c>
      <c r="AB49" s="4">
        <f t="shared" si="70"/>
        <v>0.000398603463599393</v>
      </c>
      <c r="AC49" s="67" t="str">
        <f t="shared" si="71"/>
        <v>51,0058316634488-13,5515330216322i</v>
      </c>
      <c r="AD49" s="68">
        <f t="shared" si="72"/>
        <v>34.4486245381586</v>
      </c>
      <c r="AE49" s="31">
        <f t="shared" si="73"/>
        <v>-14.8789441623379</v>
      </c>
      <c r="AF49" s="32" t="str">
        <f t="shared" si="74"/>
        <v>432,040091031901</v>
      </c>
      <c r="AG49" s="32" t="str">
        <f t="shared" si="55"/>
        <v>1+0,212860029595046i</v>
      </c>
      <c r="AH49" s="32">
        <f t="shared" si="75"/>
        <v>1.02240373248497</v>
      </c>
      <c r="AI49" s="32">
        <f t="shared" si="76"/>
        <v>0.209729842147841</v>
      </c>
      <c r="AJ49" s="32" t="str">
        <f t="shared" si="56"/>
        <v>1+0,00201152727967319i</v>
      </c>
      <c r="AK49" s="32">
        <f t="shared" si="77"/>
        <v>1.00000202311895</v>
      </c>
      <c r="AL49" s="32">
        <f t="shared" si="78"/>
        <v>0.00201152456663772</v>
      </c>
      <c r="AM49" s="32" t="str">
        <f t="shared" si="57"/>
        <v>1-0,000593849613125714i</v>
      </c>
      <c r="AN49" s="32">
        <f t="shared" si="79"/>
        <v>1.00000017632867</v>
      </c>
      <c r="AO49" s="32">
        <f t="shared" si="80"/>
        <v>-0.000593849543317249</v>
      </c>
      <c r="AP49" s="30" t="str">
        <f t="shared" si="81"/>
        <v>413,438342515183-87,3920042353996i</v>
      </c>
      <c r="AQ49" s="32">
        <f t="shared" si="82"/>
        <v>52.5180515565022</v>
      </c>
      <c r="AR49" s="31">
        <f t="shared" si="83"/>
        <v>-11.9354079974589</v>
      </c>
      <c r="AS49" t="str">
        <f t="shared" si="58"/>
        <v>-0,000201496259351621</v>
      </c>
      <c r="AT49" t="str">
        <f t="shared" si="59"/>
        <v>0,0000288259043203168i</v>
      </c>
      <c r="AU49">
        <f t="shared" si="84"/>
        <v>2.88259043203168e-5</v>
      </c>
      <c r="AV49">
        <f t="shared" si="85"/>
        <v>1.5707963267949</v>
      </c>
      <c r="AW49" t="str">
        <f t="shared" si="60"/>
        <v>1+0,00147583342925352i</v>
      </c>
      <c r="AX49">
        <f t="shared" si="86"/>
        <v>1.00000108904156</v>
      </c>
      <c r="AY49">
        <f t="shared" si="87"/>
        <v>0.00147583235775837</v>
      </c>
      <c r="AZ49" t="str">
        <f t="shared" si="61"/>
        <v>1+0,0705573982028222i</v>
      </c>
      <c r="BA49">
        <f t="shared" si="88"/>
        <v>1.00248608291644</v>
      </c>
      <c r="BB49">
        <f t="shared" si="89"/>
        <v>0.0704406603111867</v>
      </c>
      <c r="BC49" s="30" t="str">
        <f t="shared" si="90"/>
        <v>-0,482886726438492+6,99082326063668i</v>
      </c>
      <c r="BD49" s="32">
        <f t="shared" si="91"/>
        <v>16.9112385324611</v>
      </c>
      <c r="BE49" s="31">
        <f t="shared" si="92"/>
        <v>93.9513935765773</v>
      </c>
      <c r="BF49" s="30" t="str">
        <f t="shared" si="93"/>
        <v>70,1063331836769+363,116609839996i</v>
      </c>
      <c r="BG49" s="68">
        <f t="shared" si="94"/>
        <v>51.3598630706197</v>
      </c>
      <c r="BH49" s="31">
        <f t="shared" si="95"/>
        <v>79.0724494142394</v>
      </c>
      <c r="BI49" s="30" t="str">
        <f t="shared" si="96"/>
        <v>411,298168201178+2932,47482053635i</v>
      </c>
      <c r="BJ49" s="68">
        <f t="shared" si="97"/>
        <v>69.4292900889632</v>
      </c>
      <c r="BK49" s="31">
        <f t="shared" si="98"/>
        <v>82.0159855791184</v>
      </c>
      <c r="BL49" s="32">
        <f t="shared" si="99"/>
        <v>51.3598630706197</v>
      </c>
      <c r="BM49" s="31">
        <f t="shared" si="100"/>
        <v>79.0724494142394</v>
      </c>
      <c r="BO49">
        <f t="shared" si="101"/>
        <v>0</v>
      </c>
      <c r="BP49">
        <f t="shared" si="102"/>
        <v>0</v>
      </c>
    </row>
    <row r="50" ht="15.75" spans="1:68">
      <c r="A50" s="87" t="s">
        <v>438</v>
      </c>
      <c r="N50" s="7">
        <v>32</v>
      </c>
      <c r="O50" s="18">
        <f t="shared" si="62"/>
        <v>20.8929613085404</v>
      </c>
      <c r="P50" s="86" t="str">
        <f t="shared" si="50"/>
        <v>54,5454545454545</v>
      </c>
      <c r="Q50" s="4" t="str">
        <f t="shared" si="51"/>
        <v>1+0,267322307671578i</v>
      </c>
      <c r="R50" s="4">
        <f t="shared" si="63"/>
        <v>1.03511410780593</v>
      </c>
      <c r="S50" s="4">
        <f t="shared" si="64"/>
        <v>0.261214404743349</v>
      </c>
      <c r="T50" s="4" t="str">
        <f t="shared" si="52"/>
        <v>1+0,00205838176907116i</v>
      </c>
      <c r="U50" s="4">
        <f t="shared" si="65"/>
        <v>1.00000211846551</v>
      </c>
      <c r="V50" s="4">
        <f t="shared" si="66"/>
        <v>0.00205837886200162</v>
      </c>
      <c r="W50" t="str">
        <f t="shared" si="53"/>
        <v>1-0,00590734563827819i</v>
      </c>
      <c r="X50" s="4">
        <f t="shared" si="67"/>
        <v>1.00001744821402</v>
      </c>
      <c r="Y50" s="4">
        <f t="shared" si="68"/>
        <v>-0.0059072769240301</v>
      </c>
      <c r="Z50" t="str">
        <f t="shared" si="54"/>
        <v>0,999999996436605+0,000407888151214446i</v>
      </c>
      <c r="AA50" s="4">
        <f t="shared" si="69"/>
        <v>1.00000007962297</v>
      </c>
      <c r="AB50" s="4">
        <f t="shared" si="70"/>
        <v>0.000407888130047424</v>
      </c>
      <c r="AC50" s="67" t="str">
        <f t="shared" si="71"/>
        <v>50,8501402698987-13,8255690035672i</v>
      </c>
      <c r="AD50" s="68">
        <f t="shared" si="72"/>
        <v>34.4355760111049</v>
      </c>
      <c r="AE50" s="31">
        <f t="shared" si="73"/>
        <v>-15.2103788229115</v>
      </c>
      <c r="AF50" s="32" t="str">
        <f t="shared" si="74"/>
        <v>432,040091031901</v>
      </c>
      <c r="AG50" s="32" t="str">
        <f t="shared" si="55"/>
        <v>1+0,217818176621286i</v>
      </c>
      <c r="AH50" s="32">
        <f t="shared" si="75"/>
        <v>1.02344748671665</v>
      </c>
      <c r="AI50" s="32">
        <f t="shared" si="76"/>
        <v>0.214468256510164</v>
      </c>
      <c r="AJ50" s="32" t="str">
        <f t="shared" si="56"/>
        <v>1+0,00205838176907116i</v>
      </c>
      <c r="AK50" s="32">
        <f t="shared" si="77"/>
        <v>1.00000211846551</v>
      </c>
      <c r="AL50" s="32">
        <f t="shared" si="78"/>
        <v>0.00205837886200162</v>
      </c>
      <c r="AM50" s="32" t="str">
        <f t="shared" si="57"/>
        <v>1-0,000607682147580183i</v>
      </c>
      <c r="AN50" s="32">
        <f t="shared" si="79"/>
        <v>1.00000018463878</v>
      </c>
      <c r="AO50" s="32">
        <f t="shared" si="80"/>
        <v>-0.000607682072779066</v>
      </c>
      <c r="AP50" s="30" t="str">
        <f t="shared" si="81"/>
        <v>412,60137866382-89,2453195754531i</v>
      </c>
      <c r="AQ50" s="32">
        <f t="shared" si="82"/>
        <v>52.5091897059655</v>
      </c>
      <c r="AR50" s="31">
        <f t="shared" si="83"/>
        <v>-12.2050071341859</v>
      </c>
      <c r="AS50" t="str">
        <f t="shared" si="58"/>
        <v>-0,000201496259351621</v>
      </c>
      <c r="AT50" t="str">
        <f t="shared" si="59"/>
        <v>0,0000294973458871357i</v>
      </c>
      <c r="AU50">
        <f t="shared" si="84"/>
        <v>2.94973458871357e-5</v>
      </c>
      <c r="AV50">
        <f t="shared" si="85"/>
        <v>1.5707963267949</v>
      </c>
      <c r="AW50" t="str">
        <f t="shared" si="60"/>
        <v>1+0,0015102100059288i</v>
      </c>
      <c r="AX50">
        <f t="shared" si="86"/>
        <v>1.00000114036648</v>
      </c>
      <c r="AY50">
        <f t="shared" si="87"/>
        <v>0.00151020885780114</v>
      </c>
      <c r="AZ50" t="str">
        <f t="shared" si="61"/>
        <v>1+0,0722008911345111i</v>
      </c>
      <c r="BA50">
        <f t="shared" si="88"/>
        <v>1.00260309628517</v>
      </c>
      <c r="BB50">
        <f t="shared" si="89"/>
        <v>0.0720758217636342</v>
      </c>
      <c r="BC50" s="30" t="str">
        <f t="shared" si="90"/>
        <v>-0,48288667687031+6,83172551746617i</v>
      </c>
      <c r="BD50" s="32">
        <f t="shared" si="91"/>
        <v>16.712251872199</v>
      </c>
      <c r="BE50" s="31">
        <f t="shared" si="92"/>
        <v>94.0431117982581</v>
      </c>
      <c r="BF50" s="30" t="str">
        <f t="shared" si="93"/>
        <v>69,8976373018389+354,070383920575i</v>
      </c>
      <c r="BG50" s="68">
        <f t="shared" si="94"/>
        <v>51.1478278833039</v>
      </c>
      <c r="BH50" s="31">
        <f t="shared" si="95"/>
        <v>78.8327329753466</v>
      </c>
      <c r="BI50" s="30" t="str">
        <f t="shared" ref="BI50:BI113" si="103">IMPRODUCT(AP50,BC50)</f>
        <v>410,459818442966+2861,87474295536i</v>
      </c>
      <c r="BJ50" s="68">
        <f t="shared" si="97"/>
        <v>69.2214415781645</v>
      </c>
      <c r="BK50" s="31">
        <f t="shared" ref="BK50:BK113" si="104">(180/PI())*IMARGUMENT(BI50)</f>
        <v>81.8381046640722</v>
      </c>
      <c r="BL50" s="32">
        <f t="shared" si="99"/>
        <v>51.1478278833039</v>
      </c>
      <c r="BM50" s="31">
        <f t="shared" si="100"/>
        <v>78.8327329753466</v>
      </c>
      <c r="BO50">
        <f t="shared" si="101"/>
        <v>0</v>
      </c>
      <c r="BP50">
        <f t="shared" si="102"/>
        <v>0</v>
      </c>
    </row>
    <row r="51" spans="1:68">
      <c r="A51" t="s">
        <v>501</v>
      </c>
      <c r="N51" s="7">
        <v>33</v>
      </c>
      <c r="O51" s="18">
        <f t="shared" si="62"/>
        <v>21.3796208950223</v>
      </c>
      <c r="P51" s="86" t="str">
        <f t="shared" si="50"/>
        <v>54,5454545454545</v>
      </c>
      <c r="Q51" s="4" t="str">
        <f t="shared" si="51"/>
        <v>1+0,273549044120645i</v>
      </c>
      <c r="R51" s="4">
        <f t="shared" si="63"/>
        <v>1.03673963922449</v>
      </c>
      <c r="S51" s="4">
        <f t="shared" si="64"/>
        <v>0.267016769006259</v>
      </c>
      <c r="T51" s="4" t="str">
        <f t="shared" si="52"/>
        <v>1+0,00210632763972897i</v>
      </c>
      <c r="U51" s="4">
        <f t="shared" si="65"/>
        <v>1.0000022183056</v>
      </c>
      <c r="V51" s="4">
        <f t="shared" si="66"/>
        <v>0.0021063245247482</v>
      </c>
      <c r="W51" t="str">
        <f t="shared" si="53"/>
        <v>1-0,00604494539463033i</v>
      </c>
      <c r="X51" s="4">
        <f t="shared" si="67"/>
        <v>1.00001827051551</v>
      </c>
      <c r="Y51" s="4">
        <f t="shared" si="68"/>
        <v>-0.00604487176605961</v>
      </c>
      <c r="Z51" t="str">
        <f t="shared" si="54"/>
        <v>0,999999996268668+0,000417389086772094i</v>
      </c>
      <c r="AA51" s="4">
        <f t="shared" si="69"/>
        <v>1.00000008337549</v>
      </c>
      <c r="AB51" s="4">
        <f t="shared" si="70"/>
        <v>0.000417389064091221</v>
      </c>
      <c r="AC51" s="67" t="str">
        <f t="shared" si="71"/>
        <v>50,6881100431493-14,1032846732258i</v>
      </c>
      <c r="AD51" s="68">
        <f t="shared" si="72"/>
        <v>34.4219544647573</v>
      </c>
      <c r="AE51" s="31">
        <f t="shared" si="73"/>
        <v>-15.5485106894056</v>
      </c>
      <c r="AF51" s="32" t="str">
        <f t="shared" si="74"/>
        <v>432,040091031901</v>
      </c>
      <c r="AG51" s="32" t="str">
        <f t="shared" si="55"/>
        <v>1+0,222891813727933i</v>
      </c>
      <c r="AH51" s="32">
        <f t="shared" si="75"/>
        <v>1.02453929189023</v>
      </c>
      <c r="AI51" s="32">
        <f t="shared" si="76"/>
        <v>0.219306936640134</v>
      </c>
      <c r="AJ51" s="32" t="str">
        <f t="shared" si="56"/>
        <v>1+0,00210632763972897i</v>
      </c>
      <c r="AK51" s="32">
        <f t="shared" si="77"/>
        <v>1.0000022183056</v>
      </c>
      <c r="AL51" s="32">
        <f t="shared" si="78"/>
        <v>0.0021063245247482</v>
      </c>
      <c r="AM51" s="32" t="str">
        <f t="shared" si="57"/>
        <v>1-0,000621836883152919i</v>
      </c>
      <c r="AN51" s="32">
        <f t="shared" si="79"/>
        <v>1.00000019334054</v>
      </c>
      <c r="AO51" s="32">
        <f t="shared" si="80"/>
        <v>-0.000621836803002079</v>
      </c>
      <c r="AP51" s="30" t="str">
        <f t="shared" si="81"/>
        <v>411,728619702954-91,1295792876826i</v>
      </c>
      <c r="AQ51" s="32">
        <f t="shared" si="82"/>
        <v>52.4999295536634</v>
      </c>
      <c r="AR51" s="31">
        <f t="shared" si="83"/>
        <v>-12.4803070062276</v>
      </c>
      <c r="AS51" t="str">
        <f t="shared" si="58"/>
        <v>-0,000201496259351621</v>
      </c>
      <c r="AT51" t="str">
        <f t="shared" si="59"/>
        <v>0,0000301844273371874i</v>
      </c>
      <c r="AU51">
        <f t="shared" si="84"/>
        <v>3.01844273371874e-5</v>
      </c>
      <c r="AV51">
        <f t="shared" si="85"/>
        <v>1.5707963267949</v>
      </c>
      <c r="AW51" t="str">
        <f t="shared" si="60"/>
        <v>1+0,00154538731593922i</v>
      </c>
      <c r="AX51">
        <f t="shared" si="86"/>
        <v>1.00000119411027</v>
      </c>
      <c r="AY51">
        <f t="shared" si="87"/>
        <v>0.00154538608569834</v>
      </c>
      <c r="AZ51" t="str">
        <f t="shared" si="61"/>
        <v>1+0,0738826659343706i</v>
      </c>
      <c r="BA51">
        <f t="shared" si="88"/>
        <v>1.0027256096887</v>
      </c>
      <c r="BB51">
        <f t="shared" si="89"/>
        <v>0.0737486713553593</v>
      </c>
      <c r="BC51" s="30" t="str">
        <f t="shared" si="90"/>
        <v>-0,482886624966058+6,67625004558654i</v>
      </c>
      <c r="BD51" s="32">
        <f t="shared" si="91"/>
        <v>16.5133127155855</v>
      </c>
      <c r="BE51" s="31">
        <f t="shared" si="92"/>
        <v>94.1369435129307</v>
      </c>
      <c r="BF51" s="30" t="str">
        <f t="shared" si="93"/>
        <v>69,6804445578992+345,216784523061i</v>
      </c>
      <c r="BG51" s="68">
        <f t="shared" si="94"/>
        <v>50.9352671803427</v>
      </c>
      <c r="BH51" s="31">
        <f t="shared" si="95"/>
        <v>78.5884328235251</v>
      </c>
      <c r="BI51" s="30" t="str">
        <f t="shared" si="103"/>
        <v>409,58561430338+2792,80847103794i</v>
      </c>
      <c r="BJ51" s="68">
        <f t="shared" si="97"/>
        <v>69.0132422692489</v>
      </c>
      <c r="BK51" s="31">
        <f t="shared" si="104"/>
        <v>81.6566365067031</v>
      </c>
      <c r="BL51" s="32">
        <f t="shared" si="99"/>
        <v>50.9352671803427</v>
      </c>
      <c r="BM51" s="31">
        <f t="shared" si="100"/>
        <v>78.5884328235251</v>
      </c>
      <c r="BO51">
        <f t="shared" si="101"/>
        <v>0</v>
      </c>
      <c r="BP51">
        <f t="shared" si="102"/>
        <v>0</v>
      </c>
    </row>
    <row r="52" spans="1:68">
      <c r="A52" t="s">
        <v>291</v>
      </c>
      <c r="B52" s="15">
        <f>RFBT</f>
        <v>15000</v>
      </c>
      <c r="C52" s="16" t="s">
        <v>35</v>
      </c>
      <c r="E52" t="s">
        <v>502</v>
      </c>
      <c r="N52" s="7">
        <v>34</v>
      </c>
      <c r="O52" s="18">
        <f t="shared" si="62"/>
        <v>21.8776162394955</v>
      </c>
      <c r="P52" s="86" t="str">
        <f t="shared" si="50"/>
        <v>54,5454545454545</v>
      </c>
      <c r="Q52" s="4" t="str">
        <f t="shared" si="51"/>
        <v>1+0,279920819893755i</v>
      </c>
      <c r="R52" s="4">
        <f t="shared" si="63"/>
        <v>1.03843905233287</v>
      </c>
      <c r="S52" s="4">
        <f t="shared" si="64"/>
        <v>0.272935277888295</v>
      </c>
      <c r="T52" s="4" t="str">
        <f t="shared" si="52"/>
        <v>1+0,00215539031318192i</v>
      </c>
      <c r="U52" s="4">
        <f t="shared" si="65"/>
        <v>1.000002322851</v>
      </c>
      <c r="V52" s="4">
        <f t="shared" si="66"/>
        <v>0.00215538697542031</v>
      </c>
      <c r="W52" t="str">
        <f t="shared" si="53"/>
        <v>1-0,00618575026104505i</v>
      </c>
      <c r="X52" s="4">
        <f t="shared" si="67"/>
        <v>1.00001913157014</v>
      </c>
      <c r="Y52" s="4">
        <f t="shared" si="68"/>
        <v>-0.00618567136669163</v>
      </c>
      <c r="Z52" t="str">
        <f t="shared" si="54"/>
        <v>0,999999996092816+0,000427111327548348i</v>
      </c>
      <c r="AA52" s="4">
        <f t="shared" si="69"/>
        <v>1.00000008730486</v>
      </c>
      <c r="AB52" s="4">
        <f t="shared" si="70"/>
        <v>0.000427111303245355</v>
      </c>
      <c r="AC52" s="67" t="str">
        <f t="shared" si="71"/>
        <v>50,5195283266251-14,3846028539744i</v>
      </c>
      <c r="AD52" s="68">
        <f t="shared" si="72"/>
        <v>34.4077366518353</v>
      </c>
      <c r="AE52" s="31">
        <f t="shared" si="73"/>
        <v>-15.8934294641452</v>
      </c>
      <c r="AF52" s="32" t="str">
        <f t="shared" si="74"/>
        <v>432,040091031901</v>
      </c>
      <c r="AG52" s="32" t="str">
        <f t="shared" si="55"/>
        <v>1+0,228083631024541i</v>
      </c>
      <c r="AH52" s="32">
        <f t="shared" si="75"/>
        <v>1.02568130661592</v>
      </c>
      <c r="AI52" s="32">
        <f t="shared" si="76"/>
        <v>0.224247541358132</v>
      </c>
      <c r="AJ52" s="32" t="str">
        <f t="shared" si="56"/>
        <v>1+0,00215539031318192i</v>
      </c>
      <c r="AK52" s="32">
        <f t="shared" si="77"/>
        <v>1.000002322851</v>
      </c>
      <c r="AL52" s="32">
        <f t="shared" si="78"/>
        <v>0.00215538697542031</v>
      </c>
      <c r="AM52" s="32" t="str">
        <f t="shared" si="57"/>
        <v>1-0,000636321324872089i</v>
      </c>
      <c r="AN52" s="32">
        <f t="shared" si="79"/>
        <v>1.00000020245239</v>
      </c>
      <c r="AO52" s="32">
        <f t="shared" si="80"/>
        <v>-0.000636321238988918</v>
      </c>
      <c r="AP52" s="30" t="str">
        <f t="shared" si="81"/>
        <v>410,818705249997-93,0447232822269i</v>
      </c>
      <c r="AQ52" s="32">
        <f t="shared" si="82"/>
        <v>52.4902541041981</v>
      </c>
      <c r="AR52" s="31">
        <f t="shared" si="83"/>
        <v>-12.7614016305059</v>
      </c>
      <c r="AS52" t="str">
        <f t="shared" si="58"/>
        <v>-0,000201496259351621</v>
      </c>
      <c r="AT52" t="str">
        <f t="shared" si="59"/>
        <v>0,0000308875129701515i</v>
      </c>
      <c r="AU52">
        <f t="shared" si="84"/>
        <v>3.08875129701515e-5</v>
      </c>
      <c r="AV52">
        <f t="shared" si="85"/>
        <v>1.5707963267949</v>
      </c>
      <c r="AW52" t="str">
        <f t="shared" si="60"/>
        <v>1+0,00158138401076017i</v>
      </c>
      <c r="AX52">
        <f t="shared" si="86"/>
        <v>1.00000125038691</v>
      </c>
      <c r="AY52">
        <f t="shared" si="87"/>
        <v>0.00158138269253341</v>
      </c>
      <c r="AZ52" t="str">
        <f t="shared" si="61"/>
        <v>1+0,0756036143016615i</v>
      </c>
      <c r="BA52">
        <f t="shared" si="88"/>
        <v>1.00285388092956</v>
      </c>
      <c r="BB52">
        <f t="shared" si="89"/>
        <v>0.0754600585816053</v>
      </c>
      <c r="BC52" s="30" t="str">
        <f t="shared" si="90"/>
        <v>-0,482886570615648+6,52431440984412i</v>
      </c>
      <c r="BD52" s="32">
        <f t="shared" si="91"/>
        <v>16.3144232770693</v>
      </c>
      <c r="BE52" s="31">
        <f t="shared" si="92"/>
        <v>94.2329363244587</v>
      </c>
      <c r="BF52" s="30" t="str">
        <f t="shared" si="93"/>
        <v>69,454469897306+336,551418181752i</v>
      </c>
      <c r="BG52" s="68">
        <f t="shared" si="94"/>
        <v>50.7221599289046</v>
      </c>
      <c r="BH52" s="31">
        <f t="shared" si="95"/>
        <v>78.3395068603135</v>
      </c>
      <c r="BI52" s="30" t="str">
        <f t="shared" si="103"/>
        <v>408,67419314726+2725,2404458357i</v>
      </c>
      <c r="BJ52" s="68">
        <f t="shared" si="97"/>
        <v>68.8046773812675</v>
      </c>
      <c r="BK52" s="31">
        <f t="shared" si="104"/>
        <v>81.4715346939528</v>
      </c>
      <c r="BL52" s="32">
        <f t="shared" si="99"/>
        <v>50.7221599289046</v>
      </c>
      <c r="BM52" s="31">
        <f t="shared" si="100"/>
        <v>78.3395068603135</v>
      </c>
      <c r="BO52">
        <f t="shared" si="101"/>
        <v>0</v>
      </c>
      <c r="BP52">
        <f t="shared" si="102"/>
        <v>0</v>
      </c>
    </row>
    <row r="53" spans="1:68">
      <c r="A53" t="s">
        <v>295</v>
      </c>
      <c r="B53" s="15">
        <f>RFBB</f>
        <v>5050</v>
      </c>
      <c r="C53" s="16" t="s">
        <v>35</v>
      </c>
      <c r="E53" t="s">
        <v>503</v>
      </c>
      <c r="N53" s="7">
        <v>35</v>
      </c>
      <c r="O53" s="18">
        <f t="shared" si="62"/>
        <v>22.3872113856834</v>
      </c>
      <c r="P53" s="86" t="str">
        <f t="shared" si="50"/>
        <v>54,5454545454545</v>
      </c>
      <c r="Q53" s="4" t="str">
        <f t="shared" si="51"/>
        <v>1+0,286441013390761i</v>
      </c>
      <c r="R53" s="4">
        <f t="shared" si="63"/>
        <v>1.0402155806141</v>
      </c>
      <c r="S53" s="4">
        <f t="shared" si="64"/>
        <v>0.278971410255448</v>
      </c>
      <c r="T53" s="4" t="str">
        <f t="shared" si="52"/>
        <v>1+0,00220559580310887i</v>
      </c>
      <c r="U53" s="4">
        <f t="shared" si="65"/>
        <v>1.00000243232347</v>
      </c>
      <c r="V53" s="4">
        <f t="shared" si="66"/>
        <v>0.00220559222663334</v>
      </c>
      <c r="W53" t="str">
        <f t="shared" si="53"/>
        <v>1-0,00632983489412621i</v>
      </c>
      <c r="X53" s="4">
        <f t="shared" si="67"/>
        <v>1.00002003320423</v>
      </c>
      <c r="Y53" s="4">
        <f t="shared" si="68"/>
        <v>-0.00632975035739491</v>
      </c>
      <c r="Z53" t="str">
        <f t="shared" si="54"/>
        <v>0,999999995908676+0,000437060028403952i</v>
      </c>
      <c r="AA53" s="4">
        <f t="shared" si="69"/>
        <v>1.00000009141941</v>
      </c>
      <c r="AB53" s="4">
        <f t="shared" si="70"/>
        <v>0.000437060002362826</v>
      </c>
      <c r="AC53" s="67" t="str">
        <f t="shared" si="71"/>
        <v>50,344179376009-14,669436178993i</v>
      </c>
      <c r="AD53" s="68">
        <f t="shared" si="72"/>
        <v>34.3928985525556</v>
      </c>
      <c r="AE53" s="31">
        <f t="shared" si="73"/>
        <v>-16.2452229609163</v>
      </c>
      <c r="AF53" s="32" t="str">
        <f t="shared" si="74"/>
        <v>432,040091031901</v>
      </c>
      <c r="AG53" s="32" t="str">
        <f t="shared" si="55"/>
        <v>1+0,233396381281361i</v>
      </c>
      <c r="AH53" s="32">
        <f t="shared" si="75"/>
        <v>1.02687578157985</v>
      </c>
      <c r="AI53" s="32">
        <f t="shared" si="76"/>
        <v>0.229291725017259</v>
      </c>
      <c r="AJ53" s="32" t="str">
        <f t="shared" si="56"/>
        <v>1+0,00220559580310887i</v>
      </c>
      <c r="AK53" s="32">
        <f t="shared" si="77"/>
        <v>1.00000243232347</v>
      </c>
      <c r="AL53" s="32">
        <f t="shared" si="78"/>
        <v>0.00220559222663334</v>
      </c>
      <c r="AM53" s="32" t="str">
        <f t="shared" si="57"/>
        <v>1-0,00065114315258041i</v>
      </c>
      <c r="AN53" s="32">
        <f t="shared" si="79"/>
        <v>1.00000021199368</v>
      </c>
      <c r="AO53" s="32">
        <f t="shared" si="80"/>
        <v>-0.000651143060554935</v>
      </c>
      <c r="AP53" s="30" t="str">
        <f t="shared" si="81"/>
        <v>409,87023878987-94,9906446638439i</v>
      </c>
      <c r="AQ53" s="32">
        <f t="shared" si="82"/>
        <v>52.4801457198419</v>
      </c>
      <c r="AR53" s="31">
        <f t="shared" si="83"/>
        <v>-13.0483847440793</v>
      </c>
      <c r="AS53" t="str">
        <f t="shared" si="58"/>
        <v>-0,000201496259351621</v>
      </c>
      <c r="AT53" t="str">
        <f t="shared" si="59"/>
        <v>0,000031606975571337i</v>
      </c>
      <c r="AU53">
        <f t="shared" si="84"/>
        <v>3.1606975571337e-5</v>
      </c>
      <c r="AV53">
        <f t="shared" si="85"/>
        <v>1.5707963267949</v>
      </c>
      <c r="AW53" t="str">
        <f t="shared" si="60"/>
        <v>1+0,0016182191763157i</v>
      </c>
      <c r="AX53">
        <f t="shared" si="86"/>
        <v>1.00000130931579</v>
      </c>
      <c r="AY53">
        <f t="shared" si="87"/>
        <v>0.00161821776381038</v>
      </c>
      <c r="AZ53" t="str">
        <f t="shared" si="61"/>
        <v>1+0,0773646487059869i</v>
      </c>
      <c r="BA53">
        <f t="shared" si="88"/>
        <v>1.00298817982537</v>
      </c>
      <c r="BB53">
        <f t="shared" si="89"/>
        <v>0.0772108507209621</v>
      </c>
      <c r="BC53" s="30" t="str">
        <f t="shared" si="90"/>
        <v>-0,482886513703789+6,3758380519532i</v>
      </c>
      <c r="BD53" s="32">
        <f t="shared" si="91"/>
        <v>16.1155858731359</v>
      </c>
      <c r="BE53" s="31">
        <f t="shared" si="92"/>
        <v>94.3311388307263</v>
      </c>
      <c r="BF53" s="30" t="str">
        <f t="shared" si="93"/>
        <v>69,2194241265633+328,07000745439i</v>
      </c>
      <c r="BG53" s="68">
        <f t="shared" si="94"/>
        <v>50.5084844256916</v>
      </c>
      <c r="BH53" s="31">
        <f t="shared" si="95"/>
        <v>78.08591586981</v>
      </c>
      <c r="BI53" s="30" t="str">
        <f t="shared" si="103"/>
        <v>407,724156147121+2659,1359660758i</v>
      </c>
      <c r="BJ53" s="68">
        <f t="shared" si="97"/>
        <v>68.5957315929778</v>
      </c>
      <c r="BK53" s="31">
        <f t="shared" si="104"/>
        <v>81.2827540866471</v>
      </c>
      <c r="BL53" s="32">
        <f t="shared" si="99"/>
        <v>50.5084844256916</v>
      </c>
      <c r="BM53" s="31">
        <f t="shared" si="100"/>
        <v>78.08591586981</v>
      </c>
      <c r="BO53">
        <f t="shared" si="101"/>
        <v>0</v>
      </c>
      <c r="BP53">
        <f t="shared" si="102"/>
        <v>0</v>
      </c>
    </row>
    <row r="54" spans="1:68">
      <c r="A54" t="s">
        <v>361</v>
      </c>
      <c r="B54" s="15">
        <f>RCOMP</f>
        <v>2500</v>
      </c>
      <c r="C54" s="16" t="s">
        <v>35</v>
      </c>
      <c r="E54" t="s">
        <v>362</v>
      </c>
      <c r="N54" s="7">
        <v>36</v>
      </c>
      <c r="O54" s="18">
        <f t="shared" si="62"/>
        <v>22.9086765276777</v>
      </c>
      <c r="P54" s="86" t="str">
        <f t="shared" si="50"/>
        <v>54,5454545454545</v>
      </c>
      <c r="Q54" s="4" t="str">
        <f t="shared" si="51"/>
        <v>1+0,293113081704564i</v>
      </c>
      <c r="R54" s="4">
        <f t="shared" si="63"/>
        <v>1.04207258800256</v>
      </c>
      <c r="S54" s="4">
        <f t="shared" si="64"/>
        <v>0.285126606448229</v>
      </c>
      <c r="T54" s="4" t="str">
        <f t="shared" si="52"/>
        <v>1+0,00225697072912514i</v>
      </c>
      <c r="U54" s="4">
        <f t="shared" si="65"/>
        <v>1.00000254695519</v>
      </c>
      <c r="V54" s="4">
        <f t="shared" si="66"/>
        <v>0.00225696689686309</v>
      </c>
      <c r="W54" t="str">
        <f t="shared" si="53"/>
        <v>1-0,00647727568945354i</v>
      </c>
      <c r="X54" s="4">
        <f t="shared" si="67"/>
        <v>1.00002097733015</v>
      </c>
      <c r="Y54" s="4">
        <f t="shared" si="68"/>
        <v>-0.00647718510681657</v>
      </c>
      <c r="Z54" t="str">
        <f t="shared" si="54"/>
        <v>0,999999995715858+0,000447240464271792i</v>
      </c>
      <c r="AA54" s="4">
        <f t="shared" si="69"/>
        <v>1.00000009572787</v>
      </c>
      <c r="AB54" s="4">
        <f t="shared" si="70"/>
        <v>0.000447240436368223</v>
      </c>
      <c r="AC54" s="67" t="str">
        <f t="shared" si="71"/>
        <v>50,1618447071421-14,957686579793i</v>
      </c>
      <c r="AD54" s="68">
        <f t="shared" si="72"/>
        <v>34.3774153641391</v>
      </c>
      <c r="AE54" s="31">
        <f t="shared" si="73"/>
        <v>-16.6039768578572</v>
      </c>
      <c r="AF54" s="32" t="str">
        <f t="shared" si="74"/>
        <v>432,040091031901</v>
      </c>
      <c r="AG54" s="32" t="str">
        <f t="shared" si="55"/>
        <v>1+0,238832881388904i</v>
      </c>
      <c r="AH54" s="32">
        <f t="shared" si="75"/>
        <v>1.02812506303101</v>
      </c>
      <c r="AI54" s="32">
        <f t="shared" si="76"/>
        <v>0.23444113490617</v>
      </c>
      <c r="AJ54" s="32" t="str">
        <f t="shared" si="56"/>
        <v>1+0,00225697072912514i</v>
      </c>
      <c r="AK54" s="32">
        <f t="shared" si="77"/>
        <v>1.00000254695519</v>
      </c>
      <c r="AL54" s="32">
        <f t="shared" si="78"/>
        <v>0.00225696689686309</v>
      </c>
      <c r="AM54" s="32" t="str">
        <f t="shared" si="57"/>
        <v>1-0,000666310225007131i</v>
      </c>
      <c r="AN54" s="32">
        <f t="shared" si="79"/>
        <v>1.00000022198463</v>
      </c>
      <c r="AO54" s="32">
        <f t="shared" si="80"/>
        <v>-0.000666310126400059</v>
      </c>
      <c r="AP54" s="30" t="str">
        <f t="shared" si="81"/>
        <v>408,881788197022-96,9671865135424i</v>
      </c>
      <c r="AQ54" s="32">
        <f t="shared" si="82"/>
        <v>52.4695861038179</v>
      </c>
      <c r="AR54" s="31">
        <f t="shared" si="83"/>
        <v>-13.3413496547793</v>
      </c>
      <c r="AS54" t="str">
        <f t="shared" si="58"/>
        <v>-0,000201496259351621</v>
      </c>
      <c r="AT54" t="str">
        <f t="shared" si="59"/>
        <v>0,000032343196609338i</v>
      </c>
      <c r="AU54">
        <f t="shared" si="84"/>
        <v>3.2343196609338e-5</v>
      </c>
      <c r="AV54">
        <f t="shared" si="85"/>
        <v>1.5707963267949</v>
      </c>
      <c r="AW54" t="str">
        <f t="shared" si="60"/>
        <v>1+0,00165591234309819i</v>
      </c>
      <c r="AX54">
        <f t="shared" si="86"/>
        <v>1.0000013710219</v>
      </c>
      <c r="AY54">
        <f t="shared" si="87"/>
        <v>0.00165591082957158</v>
      </c>
      <c r="AZ54" t="str">
        <f t="shared" si="61"/>
        <v>1+0,0791667028710986i</v>
      </c>
      <c r="BA54">
        <f t="shared" si="88"/>
        <v>1.00312878876218</v>
      </c>
      <c r="BB54">
        <f t="shared" si="89"/>
        <v>0.0790019331093419</v>
      </c>
      <c r="BC54" s="30" t="str">
        <f t="shared" si="90"/>
        <v>-0,482886454109777+6,23074224778297i</v>
      </c>
      <c r="BD54" s="32">
        <f t="shared" si="91"/>
        <v>15.9168029268944</v>
      </c>
      <c r="BE54" s="31">
        <f t="shared" si="92"/>
        <v>94.4316006387557</v>
      </c>
      <c r="BF54" s="30" t="str">
        <f t="shared" si="93"/>
        <v>68,9750143795755+319,768389277721i</v>
      </c>
      <c r="BG54" s="68">
        <f t="shared" si="94"/>
        <v>50.2942182910336</v>
      </c>
      <c r="BH54" s="31">
        <f t="shared" si="95"/>
        <v>77.8276237808985</v>
      </c>
      <c r="BI54" s="30" t="str">
        <f t="shared" si="103"/>
        <v>406,734068806055+2594,46117292876i</v>
      </c>
      <c r="BJ54" s="68">
        <f t="shared" si="97"/>
        <v>68.3863890307124</v>
      </c>
      <c r="BK54" s="31">
        <f t="shared" si="104"/>
        <v>81.0902509839764</v>
      </c>
      <c r="BL54" s="32">
        <f t="shared" si="99"/>
        <v>50.2942182910336</v>
      </c>
      <c r="BM54" s="31">
        <f t="shared" si="100"/>
        <v>77.8276237808985</v>
      </c>
      <c r="BO54">
        <f t="shared" si="101"/>
        <v>0</v>
      </c>
      <c r="BP54">
        <f t="shared" si="102"/>
        <v>0</v>
      </c>
    </row>
    <row r="55" spans="1:68">
      <c r="A55" t="s">
        <v>364</v>
      </c>
      <c r="B55" s="15">
        <f>CCOMP</f>
        <v>2.2e-7</v>
      </c>
      <c r="C55" s="16" t="s">
        <v>258</v>
      </c>
      <c r="E55" t="s">
        <v>365</v>
      </c>
      <c r="N55" s="7">
        <v>37</v>
      </c>
      <c r="O55" s="18">
        <f t="shared" si="62"/>
        <v>23.4422881531992</v>
      </c>
      <c r="P55" s="86" t="str">
        <f t="shared" si="50"/>
        <v>54,5454545454545</v>
      </c>
      <c r="Q55" s="4" t="str">
        <f t="shared" si="51"/>
        <v>1+0,299940562454096i</v>
      </c>
      <c r="R55" s="4">
        <f t="shared" si="63"/>
        <v>1.04401357319016</v>
      </c>
      <c r="S55" s="4">
        <f t="shared" si="64"/>
        <v>0.291402263727227</v>
      </c>
      <c r="T55" s="4" t="str">
        <f t="shared" si="52"/>
        <v>1+0,00230954233089654i</v>
      </c>
      <c r="U55" s="4">
        <f t="shared" si="65"/>
        <v>1.00000266698933</v>
      </c>
      <c r="V55" s="4">
        <f t="shared" si="66"/>
        <v>0.00230953822455437</v>
      </c>
      <c r="W55" t="str">
        <f t="shared" si="53"/>
        <v>1-0,0066281508220883i</v>
      </c>
      <c r="X55" s="4">
        <f t="shared" si="67"/>
        <v>1.00002196595041</v>
      </c>
      <c r="Y55" s="4">
        <f t="shared" si="68"/>
        <v>-0.00662805376115922</v>
      </c>
      <c r="Z55" t="str">
        <f t="shared" si="54"/>
        <v>0,999999995513952+0,000457658032953716i</v>
      </c>
      <c r="AA55" s="4">
        <f t="shared" si="69"/>
        <v>1.00000010023938</v>
      </c>
      <c r="AB55" s="4">
        <f t="shared" si="70"/>
        <v>0.000457658003054504</v>
      </c>
      <c r="AC55" s="67" t="str">
        <f t="shared" si="71"/>
        <v>49,9723034867782-15,2492447723906i</v>
      </c>
      <c r="AD55" s="68">
        <f t="shared" si="72"/>
        <v>34.3612614916519</v>
      </c>
      <c r="AE55" s="31">
        <f t="shared" si="73"/>
        <v>-16.9697744381729</v>
      </c>
      <c r="AF55" s="32" t="str">
        <f t="shared" si="74"/>
        <v>432,040091031901</v>
      </c>
      <c r="AG55" s="32" t="str">
        <f t="shared" si="55"/>
        <v>1+0,244396013851486i</v>
      </c>
      <c r="AH55" s="32">
        <f t="shared" si="75"/>
        <v>1.02943159636107</v>
      </c>
      <c r="AI55" s="32">
        <f t="shared" si="76"/>
        <v>0.239697408476116</v>
      </c>
      <c r="AJ55" s="32" t="str">
        <f t="shared" si="56"/>
        <v>1+0,00230954233089654i</v>
      </c>
      <c r="AK55" s="32">
        <f t="shared" si="77"/>
        <v>1.00000266698933</v>
      </c>
      <c r="AL55" s="32">
        <f t="shared" si="78"/>
        <v>0.00230953822455437</v>
      </c>
      <c r="AM55" s="32" t="str">
        <f t="shared" si="57"/>
        <v>1-0,00068183058393481i</v>
      </c>
      <c r="AN55" s="32">
        <f t="shared" si="79"/>
        <v>1.00000023244645</v>
      </c>
      <c r="AO55" s="32">
        <f t="shared" si="80"/>
        <v>-0.00068183047827543</v>
      </c>
      <c r="AP55" s="30" t="str">
        <f t="shared" si="81"/>
        <v>407,851886435311-98,9741385552679i</v>
      </c>
      <c r="AQ55" s="32">
        <f t="shared" si="82"/>
        <v>52.4585562838645</v>
      </c>
      <c r="AR55" s="31">
        <f t="shared" si="83"/>
        <v>-13.6403890817622</v>
      </c>
      <c r="AS55" t="str">
        <f t="shared" si="58"/>
        <v>-0,000201496259351621</v>
      </c>
      <c r="AT55" t="str">
        <f t="shared" si="59"/>
        <v>0,0000330965664382943i</v>
      </c>
      <c r="AU55">
        <f t="shared" si="84"/>
        <v>3.30965664382943e-5</v>
      </c>
      <c r="AV55">
        <f t="shared" si="85"/>
        <v>1.5707963267949</v>
      </c>
      <c r="AW55" t="str">
        <f t="shared" si="60"/>
        <v>1+0,00169448349652359i</v>
      </c>
      <c r="AX55">
        <f t="shared" si="86"/>
        <v>1.00000143563613</v>
      </c>
      <c r="AY55">
        <f t="shared" si="87"/>
        <v>0.00169448187475073</v>
      </c>
      <c r="AZ55" t="str">
        <f t="shared" si="61"/>
        <v>1+0,081010732269968i</v>
      </c>
      <c r="BA55">
        <f t="shared" si="88"/>
        <v>1.00327600327274</v>
      </c>
      <c r="BB55">
        <f t="shared" si="89"/>
        <v>0.0808342094106687</v>
      </c>
      <c r="BC55" s="30" t="str">
        <f t="shared" si="90"/>
        <v>-0,482886391707202+6,0889500656168i</v>
      </c>
      <c r="BD55" s="32">
        <f t="shared" si="91"/>
        <v>15.7180769728603</v>
      </c>
      <c r="BE55" s="31">
        <f t="shared" si="92"/>
        <v>94.5343723796234</v>
      </c>
      <c r="BF55" s="30" t="str">
        <f t="shared" si="93"/>
        <v>68,7209446414268+311,64251337924i</v>
      </c>
      <c r="BG55" s="68">
        <f t="shared" si="94"/>
        <v>50.0793384645122</v>
      </c>
      <c r="BH55" s="31">
        <f t="shared" si="95"/>
        <v>77.5645979414505</v>
      </c>
      <c r="BI55" s="30" t="str">
        <f t="shared" si="103"/>
        <v>405,702461658742+2531,1830353115i</v>
      </c>
      <c r="BJ55" s="68">
        <f t="shared" si="97"/>
        <v>68.1766332567248</v>
      </c>
      <c r="BK55" s="31">
        <f t="shared" si="104"/>
        <v>80.8939832978611</v>
      </c>
      <c r="BL55" s="32">
        <f t="shared" si="99"/>
        <v>50.0793384645122</v>
      </c>
      <c r="BM55" s="31">
        <f t="shared" si="100"/>
        <v>77.5645979414505</v>
      </c>
      <c r="BO55">
        <f t="shared" si="101"/>
        <v>0</v>
      </c>
      <c r="BP55">
        <f t="shared" si="102"/>
        <v>0</v>
      </c>
    </row>
    <row r="56" spans="1:68">
      <c r="A56" t="s">
        <v>367</v>
      </c>
      <c r="B56" s="15">
        <f>CHF</f>
        <v>4.7e-9</v>
      </c>
      <c r="C56" s="16" t="s">
        <v>258</v>
      </c>
      <c r="E56" t="s">
        <v>368</v>
      </c>
      <c r="N56" s="7">
        <v>38</v>
      </c>
      <c r="O56" s="18">
        <f t="shared" si="62"/>
        <v>23.9883291901949</v>
      </c>
      <c r="P56" s="86" t="str">
        <f t="shared" si="50"/>
        <v>54,5454545454545</v>
      </c>
      <c r="Q56" s="4" t="str">
        <f t="shared" si="51"/>
        <v>1+0,306927075660026i</v>
      </c>
      <c r="R56" s="4">
        <f t="shared" si="63"/>
        <v>1.04604217399358</v>
      </c>
      <c r="S56" s="4">
        <f t="shared" si="64"/>
        <v>0.297799731505117</v>
      </c>
      <c r="T56" s="4" t="str">
        <f t="shared" si="52"/>
        <v>1+0,0023633384825822i</v>
      </c>
      <c r="U56" s="4">
        <f t="shared" si="65"/>
        <v>1.00000279268049</v>
      </c>
      <c r="V56" s="4">
        <f t="shared" si="66"/>
        <v>0.00236333408255795</v>
      </c>
      <c r="W56" t="str">
        <f t="shared" si="53"/>
        <v>1-0,00678254028802291i</v>
      </c>
      <c r="X56" s="4">
        <f t="shared" si="67"/>
        <v>1.00002300116185</v>
      </c>
      <c r="Y56" s="4">
        <f t="shared" si="68"/>
        <v>-0.00678243628549281</v>
      </c>
      <c r="Z56" t="str">
        <f t="shared" si="54"/>
        <v>0,999999995302531+0,000468318257982534i</v>
      </c>
      <c r="AA56" s="4">
        <f t="shared" si="69"/>
        <v>1.00000010496352</v>
      </c>
      <c r="AB56" s="4">
        <f t="shared" si="70"/>
        <v>0.000468318225944951</v>
      </c>
      <c r="AC56" s="67" t="str">
        <f t="shared" si="71"/>
        <v>49,775332968457-15,5439897438409i</v>
      </c>
      <c r="AD56" s="68">
        <f t="shared" si="72"/>
        <v>34.34441054034</v>
      </c>
      <c r="AE56" s="31">
        <f t="shared" si="73"/>
        <v>-17.3426963186532</v>
      </c>
      <c r="AF56" s="32" t="str">
        <f t="shared" si="74"/>
        <v>432,040091031901</v>
      </c>
      <c r="AG56" s="32" t="str">
        <f t="shared" si="55"/>
        <v>1+0,250088728315577i</v>
      </c>
      <c r="AH56" s="32">
        <f t="shared" si="75"/>
        <v>1.03079792977601</v>
      </c>
      <c r="AI56" s="32">
        <f t="shared" si="76"/>
        <v>0.245062170386164</v>
      </c>
      <c r="AJ56" s="32" t="str">
        <f t="shared" si="56"/>
        <v>1+0,0023633384825822i</v>
      </c>
      <c r="AK56" s="32">
        <f t="shared" si="77"/>
        <v>1.00000279268049</v>
      </c>
      <c r="AL56" s="32">
        <f t="shared" si="78"/>
        <v>0.00236333408255795</v>
      </c>
      <c r="AM56" s="32" t="str">
        <f t="shared" si="57"/>
        <v>1-0,000697712458463189i</v>
      </c>
      <c r="AN56" s="32">
        <f t="shared" si="79"/>
        <v>1.00000024340131</v>
      </c>
      <c r="AO56" s="32">
        <f t="shared" si="80"/>
        <v>-0.000697712345247125</v>
      </c>
      <c r="AP56" s="30" t="str">
        <f t="shared" si="81"/>
        <v>406,779032451418-101,01123371213i</v>
      </c>
      <c r="AQ56" s="32">
        <f t="shared" si="82"/>
        <v>52.4470365961713</v>
      </c>
      <c r="AR56" s="31">
        <f t="shared" si="83"/>
        <v>-13.9455949856298</v>
      </c>
      <c r="AS56" t="str">
        <f t="shared" si="58"/>
        <v>-0,000201496259351621</v>
      </c>
      <c r="AT56" t="str">
        <f t="shared" si="59"/>
        <v>0,000033867484504861i</v>
      </c>
      <c r="AU56">
        <f t="shared" si="84"/>
        <v>3.3867484504861e-5</v>
      </c>
      <c r="AV56">
        <f t="shared" si="85"/>
        <v>1.5707963267949</v>
      </c>
      <c r="AW56" t="str">
        <f t="shared" si="60"/>
        <v>1+0,00173395308752798i</v>
      </c>
      <c r="AX56">
        <f t="shared" si="86"/>
        <v>1.00000150329552</v>
      </c>
      <c r="AY56">
        <f t="shared" si="87"/>
        <v>0.0017339513497672</v>
      </c>
      <c r="AZ56" t="str">
        <f t="shared" si="61"/>
        <v>1+0,0828977146313909i</v>
      </c>
      <c r="BA56">
        <f t="shared" si="88"/>
        <v>1.00343013264059</v>
      </c>
      <c r="BB56">
        <f t="shared" si="89"/>
        <v>0.0827086018835673</v>
      </c>
      <c r="BC56" s="30" t="str">
        <f t="shared" si="90"/>
        <v>-0,4828863263637+5,95038632536224i</v>
      </c>
      <c r="BD56" s="32">
        <f t="shared" si="91"/>
        <v>15.5194106619402</v>
      </c>
      <c r="BE56" s="31">
        <f t="shared" si="92"/>
        <v>94.6395057231335</v>
      </c>
      <c r="BF56" s="30" t="str">
        <f t="shared" si="93"/>
        <v>68,4569163326536+303,688440740297i</v>
      </c>
      <c r="BG56" s="68">
        <f t="shared" si="94"/>
        <v>49.8638212022802</v>
      </c>
      <c r="BH56" s="31">
        <f t="shared" si="95"/>
        <v>77.2968094044803</v>
      </c>
      <c r="BI56" s="30" t="str">
        <f t="shared" si="103"/>
        <v>404,627831166382+2469,26933571172i</v>
      </c>
      <c r="BJ56" s="68">
        <f t="shared" si="97"/>
        <v>67.9664472581115</v>
      </c>
      <c r="BK56" s="31">
        <f t="shared" si="104"/>
        <v>80.6939107375037</v>
      </c>
      <c r="BL56" s="32">
        <f t="shared" si="99"/>
        <v>49.8638212022802</v>
      </c>
      <c r="BM56" s="31">
        <f t="shared" si="100"/>
        <v>77.2968094044803</v>
      </c>
      <c r="BO56">
        <f t="shared" si="101"/>
        <v>0</v>
      </c>
      <c r="BP56">
        <f t="shared" si="102"/>
        <v>0</v>
      </c>
    </row>
    <row r="57" spans="1:68">
      <c r="N57" s="7">
        <v>39</v>
      </c>
      <c r="O57" s="18">
        <f t="shared" si="62"/>
        <v>24.5470891568503</v>
      </c>
      <c r="P57" s="86" t="str">
        <f t="shared" si="50"/>
        <v>54,5454545454545</v>
      </c>
      <c r="Q57" s="4" t="str">
        <f t="shared" si="51"/>
        <v>1+0,314076325664129i</v>
      </c>
      <c r="R57" s="4">
        <f t="shared" si="63"/>
        <v>1.04816217177624</v>
      </c>
      <c r="S57" s="4">
        <f t="shared" si="64"/>
        <v>0.304320306365845</v>
      </c>
      <c r="T57" s="4" t="str">
        <f t="shared" si="52"/>
        <v>1+0,00241838770761379i</v>
      </c>
      <c r="U57" s="4">
        <f t="shared" si="65"/>
        <v>1.00000292429528</v>
      </c>
      <c r="V57" s="4">
        <f t="shared" si="66"/>
        <v>0.00241838299290361</v>
      </c>
      <c r="W57" t="str">
        <f t="shared" si="53"/>
        <v>1-0,00694052594659571i</v>
      </c>
      <c r="X57" s="4">
        <f t="shared" si="67"/>
        <v>1.00002408516016</v>
      </c>
      <c r="Y57" s="4">
        <f t="shared" si="68"/>
        <v>-0.00694041450602187</v>
      </c>
      <c r="Z57" t="str">
        <f t="shared" si="54"/>
        <v>0,999999995081146+0,000479226791550656i</v>
      </c>
      <c r="AA57" s="4">
        <f t="shared" si="69"/>
        <v>1.0000001099103</v>
      </c>
      <c r="AB57" s="4">
        <f t="shared" si="70"/>
        <v>0.000479226757221768</v>
      </c>
      <c r="AC57" s="67" t="str">
        <f t="shared" si="71"/>
        <v>49,5707089756878-15,841788242158i</v>
      </c>
      <c r="AD57" s="68">
        <f t="shared" si="72"/>
        <v>34.3268353096239</v>
      </c>
      <c r="AE57" s="31">
        <f t="shared" si="73"/>
        <v>-17.7228201660365</v>
      </c>
      <c r="AF57" s="32" t="str">
        <f t="shared" si="74"/>
        <v>432,040091031901</v>
      </c>
      <c r="AG57" s="32" t="str">
        <f t="shared" si="55"/>
        <v>1+0,255914043133734i</v>
      </c>
      <c r="AH57" s="32">
        <f t="shared" si="75"/>
        <v>1.03222671805813</v>
      </c>
      <c r="AI57" s="32">
        <f t="shared" si="76"/>
        <v>0.250537029360792</v>
      </c>
      <c r="AJ57" s="32" t="str">
        <f t="shared" si="56"/>
        <v>1+0,00241838770761379i</v>
      </c>
      <c r="AK57" s="32">
        <f t="shared" si="77"/>
        <v>1.00000292429528</v>
      </c>
      <c r="AL57" s="32">
        <f t="shared" si="78"/>
        <v>0.00241838299290361</v>
      </c>
      <c r="AM57" s="32" t="str">
        <f t="shared" si="57"/>
        <v>1-0,000713964269372357i</v>
      </c>
      <c r="AN57" s="32">
        <f t="shared" si="79"/>
        <v>1.00000025487246</v>
      </c>
      <c r="AO57" s="32">
        <f t="shared" si="80"/>
        <v>-0.000713964148059161</v>
      </c>
      <c r="AP57" s="30" t="str">
        <f t="shared" si="81"/>
        <v>405,661692278099-103,078144557946i</v>
      </c>
      <c r="AQ57" s="32">
        <f t="shared" si="82"/>
        <v>52.4350066697792</v>
      </c>
      <c r="AR57" s="31">
        <f t="shared" si="83"/>
        <v>-14.2570583877864</v>
      </c>
      <c r="AS57" t="str">
        <f t="shared" si="58"/>
        <v>-0,000201496259351621</v>
      </c>
      <c r="AT57" t="str">
        <f t="shared" si="59"/>
        <v>0,0000346563595600013i</v>
      </c>
      <c r="AU57">
        <f t="shared" si="84"/>
        <v>3.46563595600013e-5</v>
      </c>
      <c r="AV57">
        <f t="shared" si="85"/>
        <v>1.5707963267949</v>
      </c>
      <c r="AW57" t="str">
        <f t="shared" si="60"/>
        <v>1+0,00177434204341096i</v>
      </c>
      <c r="AX57">
        <f t="shared" si="86"/>
        <v>1.0000015741436</v>
      </c>
      <c r="AY57">
        <f t="shared" si="87"/>
        <v>0.00177434018136689</v>
      </c>
      <c r="AZ57" t="str">
        <f t="shared" si="61"/>
        <v>1+0,0848286504583919i</v>
      </c>
      <c r="BA57">
        <f t="shared" si="88"/>
        <v>1.00359150053126</v>
      </c>
      <c r="BB57">
        <f t="shared" si="89"/>
        <v>0.0846260516432649</v>
      </c>
      <c r="BC57" s="30" t="str">
        <f t="shared" si="90"/>
        <v>-0,482886257940672+5,81497755868937i</v>
      </c>
      <c r="BD57" s="32">
        <f t="shared" si="91"/>
        <v>15.3208067666271</v>
      </c>
      <c r="BE57" s="31">
        <f t="shared" si="92"/>
        <v>94.7470533922024</v>
      </c>
      <c r="BF57" s="30" t="str">
        <f t="shared" si="93"/>
        <v>68,1826289569219+295,902342105291i</v>
      </c>
      <c r="BG57" s="68">
        <f t="shared" si="94"/>
        <v>49.647642076251</v>
      </c>
      <c r="BH57" s="31">
        <f t="shared" si="95"/>
        <v>77.024233226166</v>
      </c>
      <c r="BI57" s="30" t="str">
        <f t="shared" si="103"/>
        <v>403,508640821743+2408,68865651815i</v>
      </c>
      <c r="BJ57" s="68">
        <f t="shared" si="97"/>
        <v>67.7558134364063</v>
      </c>
      <c r="BK57" s="31">
        <f t="shared" si="104"/>
        <v>80.4899950044161</v>
      </c>
      <c r="BL57" s="32">
        <f t="shared" si="99"/>
        <v>49.647642076251</v>
      </c>
      <c r="BM57" s="31">
        <f t="shared" si="100"/>
        <v>77.024233226166</v>
      </c>
      <c r="BO57">
        <f t="shared" si="101"/>
        <v>0</v>
      </c>
      <c r="BP57">
        <f t="shared" si="102"/>
        <v>0</v>
      </c>
    </row>
    <row r="58" spans="1:68">
      <c r="A58" t="s">
        <v>504</v>
      </c>
      <c r="B58" s="12">
        <f>-(RFBB*gm_ea)/(RFBB+RFBT)</f>
        <v>-0.000201496259351621</v>
      </c>
      <c r="C58" t="s">
        <v>244</v>
      </c>
      <c r="N58" s="7">
        <v>40</v>
      </c>
      <c r="O58" s="18">
        <f t="shared" si="62"/>
        <v>25.1188643150958</v>
      </c>
      <c r="P58" s="86" t="str">
        <f t="shared" si="50"/>
        <v>54,5454545454545</v>
      </c>
      <c r="Q58" s="4" t="str">
        <f t="shared" si="51"/>
        <v>1+0,321392103093392i</v>
      </c>
      <c r="R58" s="4">
        <f t="shared" si="63"/>
        <v>1.05037749591792</v>
      </c>
      <c r="S58" s="4">
        <f t="shared" si="64"/>
        <v>0.310965226873131</v>
      </c>
      <c r="T58" s="4" t="str">
        <f t="shared" si="52"/>
        <v>1+0,00247471919381912i</v>
      </c>
      <c r="U58" s="4">
        <f t="shared" si="65"/>
        <v>1.00000306211286</v>
      </c>
      <c r="V58" s="4">
        <f t="shared" si="66"/>
        <v>0.00247471414191698</v>
      </c>
      <c r="W58" t="str">
        <f t="shared" si="53"/>
        <v>1-0,00710219156389417i</v>
      </c>
      <c r="X58" s="4">
        <f t="shared" si="67"/>
        <v>1.00002522024447</v>
      </c>
      <c r="Y58" s="4">
        <f t="shared" si="68"/>
        <v>-0.00710207215333056</v>
      </c>
      <c r="Z58" t="str">
        <f t="shared" si="54"/>
        <v>0,999999994849328+0,000490389417506978i</v>
      </c>
      <c r="AA58" s="4">
        <f t="shared" si="69"/>
        <v>1.00000011509021</v>
      </c>
      <c r="AB58" s="4">
        <f t="shared" si="70"/>
        <v>0.000490389380722911</v>
      </c>
      <c r="AC58" s="67" t="str">
        <f t="shared" si="71"/>
        <v>49,3582064345209-16,1424942729865i</v>
      </c>
      <c r="AD58" s="68">
        <f t="shared" si="72"/>
        <v>34.3085077889275</v>
      </c>
      <c r="AE58" s="31">
        <f t="shared" si="73"/>
        <v>-18.110220401342</v>
      </c>
      <c r="AF58" s="32" t="str">
        <f t="shared" si="74"/>
        <v>432,040091031901</v>
      </c>
      <c r="AG58" s="32" t="str">
        <f t="shared" si="55"/>
        <v>1+0,261875046964986i</v>
      </c>
      <c r="AH58" s="32">
        <f t="shared" si="75"/>
        <v>1.03372072641643</v>
      </c>
      <c r="AI58" s="32">
        <f t="shared" si="76"/>
        <v>0.256123574854461</v>
      </c>
      <c r="AJ58" s="32" t="str">
        <f t="shared" si="56"/>
        <v>1+0,00247471919381912i</v>
      </c>
      <c r="AK58" s="32">
        <f t="shared" si="77"/>
        <v>1.00000306211286</v>
      </c>
      <c r="AL58" s="32">
        <f t="shared" si="78"/>
        <v>0.00247471414191698</v>
      </c>
      <c r="AM58" s="32" t="str">
        <f t="shared" si="57"/>
        <v>1-0,000730594633587584i</v>
      </c>
      <c r="AN58" s="32">
        <f t="shared" si="79"/>
        <v>1.00000026688422</v>
      </c>
      <c r="AO58" s="32">
        <f t="shared" si="80"/>
        <v>-0.000730594503598154</v>
      </c>
      <c r="AP58" s="30" t="str">
        <f t="shared" si="81"/>
        <v>404,498300364093-105,174479671331i</v>
      </c>
      <c r="AQ58" s="32">
        <f t="shared" si="82"/>
        <v>52.4224454115479</v>
      </c>
      <c r="AR58" s="31">
        <f t="shared" si="83"/>
        <v>-14.5748691787221</v>
      </c>
      <c r="AS58" t="str">
        <f t="shared" si="58"/>
        <v>-0,000201496259351621</v>
      </c>
      <c r="AT58" t="str">
        <f t="shared" si="59"/>
        <v>0,0000354636098757114i</v>
      </c>
      <c r="AU58">
        <f t="shared" si="84"/>
        <v>3.54636098757114e-5</v>
      </c>
      <c r="AV58">
        <f t="shared" si="85"/>
        <v>1.5707963267949</v>
      </c>
      <c r="AW58" t="str">
        <f t="shared" si="60"/>
        <v>1+0,00181567177893155i</v>
      </c>
      <c r="AX58">
        <f t="shared" si="86"/>
        <v>1.00000164833065</v>
      </c>
      <c r="AY58">
        <f t="shared" si="87"/>
        <v>0.00181566978371556</v>
      </c>
      <c r="AZ58" t="str">
        <f t="shared" si="61"/>
        <v>1+0,0868045635587063i</v>
      </c>
      <c r="BA58">
        <f t="shared" si="88"/>
        <v>1.00376044565156</v>
      </c>
      <c r="BB58">
        <f t="shared" si="89"/>
        <v>0.0865875189178679</v>
      </c>
      <c r="BC58" s="30" t="str">
        <f t="shared" si="90"/>
        <v>-0,482886186292989+5,68265197007703i</v>
      </c>
      <c r="BD58" s="32">
        <f t="shared" si="91"/>
        <v>15.1222681864125</v>
      </c>
      <c r="BE58" s="31">
        <f t="shared" si="92"/>
        <v>94.8570691769067</v>
      </c>
      <c r="BF58" s="30" t="str">
        <f t="shared" si="93"/>
        <v>67,897780814916+288,280496531338i</v>
      </c>
      <c r="BG58" s="68">
        <f t="shared" si="94"/>
        <v>49.43077597534</v>
      </c>
      <c r="BH58" s="31">
        <f t="shared" si="95"/>
        <v>76.7468487755647</v>
      </c>
      <c r="BI58" s="30" t="str">
        <f t="shared" si="103"/>
        <v>402,343322481303+2349,41036684066i</v>
      </c>
      <c r="BJ58" s="68">
        <f t="shared" si="97"/>
        <v>67.5447135979603</v>
      </c>
      <c r="BK58" s="31">
        <f t="shared" si="104"/>
        <v>80.2821999981845</v>
      </c>
      <c r="BL58" s="32">
        <f t="shared" si="99"/>
        <v>49.43077597534</v>
      </c>
      <c r="BM58" s="31">
        <f t="shared" si="100"/>
        <v>76.7468487755647</v>
      </c>
      <c r="BO58">
        <f t="shared" si="101"/>
        <v>0</v>
      </c>
      <c r="BP58">
        <f t="shared" si="102"/>
        <v>0</v>
      </c>
    </row>
    <row r="59" spans="1:68">
      <c r="A59" t="s">
        <v>449</v>
      </c>
      <c r="B59" s="12">
        <f>1/(RCOMP*CCOMP)</f>
        <v>1818.18181818182</v>
      </c>
      <c r="E59" t="s">
        <v>505</v>
      </c>
      <c r="N59" s="7">
        <v>41</v>
      </c>
      <c r="O59" s="18">
        <f t="shared" si="62"/>
        <v>25.7039578276886</v>
      </c>
      <c r="P59" s="86" t="str">
        <f t="shared" si="50"/>
        <v>54,5454545454545</v>
      </c>
      <c r="Q59" s="4" t="str">
        <f t="shared" si="51"/>
        <v>1+0,328878286869841i</v>
      </c>
      <c r="R59" s="4">
        <f t="shared" si="63"/>
        <v>1.05269222832433</v>
      </c>
      <c r="S59" s="4">
        <f t="shared" si="64"/>
        <v>0.317735668171803</v>
      </c>
      <c r="T59" s="4" t="str">
        <f t="shared" si="52"/>
        <v>1+0,00253236280889778i</v>
      </c>
      <c r="U59" s="4">
        <f t="shared" si="65"/>
        <v>1.00000320642556</v>
      </c>
      <c r="V59" s="4">
        <f t="shared" si="66"/>
        <v>0.00253235739568804</v>
      </c>
      <c r="W59" t="str">
        <f t="shared" si="53"/>
        <v>1-0,00726762285716837i</v>
      </c>
      <c r="X59" s="4">
        <f t="shared" si="67"/>
        <v>1.00002640882228</v>
      </c>
      <c r="Y59" s="4">
        <f t="shared" si="68"/>
        <v>-0.00726749490662671</v>
      </c>
      <c r="Z59" t="str">
        <f t="shared" si="54"/>
        <v>0,999999994606584+0,00050181205442353i</v>
      </c>
      <c r="AA59" s="4">
        <f t="shared" si="69"/>
        <v>1.00000012051425</v>
      </c>
      <c r="AB59" s="4">
        <f t="shared" si="70"/>
        <v>0.000501812015008693</v>
      </c>
      <c r="AC59" s="67" t="str">
        <f t="shared" si="71"/>
        <v>49,1375999574367-16,4459486067345i</v>
      </c>
      <c r="AD59" s="68">
        <f t="shared" si="72"/>
        <v>34.2893991555244</v>
      </c>
      <c r="AE59" s="31">
        <f t="shared" si="73"/>
        <v>-18.5049678923734</v>
      </c>
      <c r="AF59" s="32" t="str">
        <f t="shared" si="74"/>
        <v>432,040091031901</v>
      </c>
      <c r="AG59" s="32" t="str">
        <f t="shared" si="55"/>
        <v>1+0,267974900412463i</v>
      </c>
      <c r="AH59" s="32">
        <f t="shared" si="75"/>
        <v>1.03528283442307</v>
      </c>
      <c r="AI59" s="32">
        <f t="shared" si="76"/>
        <v>0.261823373518119</v>
      </c>
      <c r="AJ59" s="32" t="str">
        <f t="shared" si="56"/>
        <v>1+0,00253236280889778i</v>
      </c>
      <c r="AK59" s="32">
        <f t="shared" si="77"/>
        <v>1.00000320642556</v>
      </c>
      <c r="AL59" s="32">
        <f t="shared" si="78"/>
        <v>0.00253235739568804</v>
      </c>
      <c r="AM59" s="32" t="str">
        <f t="shared" si="57"/>
        <v>1-0,000747612368748098i</v>
      </c>
      <c r="AN59" s="32">
        <f t="shared" si="79"/>
        <v>1.00000027946209</v>
      </c>
      <c r="AO59" s="32">
        <f t="shared" si="80"/>
        <v>-0.000747612229461916</v>
      </c>
      <c r="AP59" s="30" t="str">
        <f t="shared" si="81"/>
        <v>403,287261148045-107,299779901131i</v>
      </c>
      <c r="AQ59" s="32">
        <f t="shared" si="82"/>
        <v>52.4093309917987</v>
      </c>
      <c r="AR59" s="31">
        <f t="shared" si="83"/>
        <v>-14.8991159149344</v>
      </c>
      <c r="AS59" t="str">
        <f t="shared" si="58"/>
        <v>-0,000201496259351621</v>
      </c>
      <c r="AT59" t="str">
        <f t="shared" si="59"/>
        <v>0,000036289663466794i</v>
      </c>
      <c r="AU59">
        <f t="shared" si="84"/>
        <v>3.6289663466794e-5</v>
      </c>
      <c r="AV59">
        <f t="shared" si="85"/>
        <v>1.5707963267949</v>
      </c>
      <c r="AW59" t="str">
        <f t="shared" si="60"/>
        <v>1+0,00185796420766258i</v>
      </c>
      <c r="AX59">
        <f t="shared" si="86"/>
        <v>1.00000172601401</v>
      </c>
      <c r="AY59">
        <f t="shared" si="87"/>
        <v>0.00185796206975033</v>
      </c>
      <c r="AZ59" t="str">
        <f t="shared" si="61"/>
        <v>1+0,0888265015876133i</v>
      </c>
      <c r="BA59">
        <f t="shared" si="88"/>
        <v>1.00393732243816</v>
      </c>
      <c r="BB59">
        <f t="shared" si="89"/>
        <v>0.0885939832980965</v>
      </c>
      <c r="BC59" s="30" t="str">
        <f t="shared" si="90"/>
        <v>-0,482886111268674+5,55333939874573i</v>
      </c>
      <c r="BD59" s="32">
        <f t="shared" si="91"/>
        <v>14.9237979534235</v>
      </c>
      <c r="BE59" s="31">
        <f t="shared" si="92"/>
        <v>94.9696079481413</v>
      </c>
      <c r="BF59" s="30" t="str">
        <f t="shared" si="93"/>
        <v>67,6020697870038+280,81928997227i</v>
      </c>
      <c r="BG59" s="68">
        <f t="shared" si="94"/>
        <v>49.2131971089479</v>
      </c>
      <c r="BH59" s="31">
        <f t="shared" si="95"/>
        <v>76.464640055768</v>
      </c>
      <c r="BI59" s="30" t="str">
        <f t="shared" si="103"/>
        <v>401,130277941722+2291,40460980214i</v>
      </c>
      <c r="BJ59" s="68">
        <f t="shared" si="97"/>
        <v>67.3331289452222</v>
      </c>
      <c r="BK59" s="31">
        <f t="shared" si="104"/>
        <v>80.0704920332069</v>
      </c>
      <c r="BL59" s="32">
        <f t="shared" si="99"/>
        <v>49.2131971089479</v>
      </c>
      <c r="BM59" s="31">
        <f t="shared" si="100"/>
        <v>76.464640055768</v>
      </c>
      <c r="BO59">
        <f t="shared" si="101"/>
        <v>0</v>
      </c>
      <c r="BP59">
        <f t="shared" si="102"/>
        <v>0</v>
      </c>
    </row>
    <row r="60" spans="1:68">
      <c r="A60" t="s">
        <v>447</v>
      </c>
      <c r="B60" s="12">
        <f>(CCOMP+CHF)</f>
        <v>2.247e-7</v>
      </c>
      <c r="E60" t="s">
        <v>506</v>
      </c>
      <c r="N60" s="7">
        <v>42</v>
      </c>
      <c r="O60" s="18">
        <f t="shared" si="62"/>
        <v>26.3026799189538</v>
      </c>
      <c r="P60" s="86" t="str">
        <f t="shared" si="50"/>
        <v>54,5454545454545</v>
      </c>
      <c r="Q60" s="4" t="str">
        <f t="shared" si="51"/>
        <v>1+0,336538846267207i</v>
      </c>
      <c r="R60" s="4">
        <f t="shared" si="63"/>
        <v>1.05511060796812</v>
      </c>
      <c r="S60" s="4">
        <f t="shared" si="64"/>
        <v>0.324632736387197</v>
      </c>
      <c r="T60" s="4" t="str">
        <f t="shared" si="52"/>
        <v>1+0,0025913491162575i</v>
      </c>
      <c r="U60" s="4">
        <f t="shared" si="65"/>
        <v>1.00000335753948</v>
      </c>
      <c r="V60" s="4">
        <f t="shared" si="66"/>
        <v>0.00259134331589981</v>
      </c>
      <c r="W60" t="str">
        <f t="shared" si="53"/>
        <v>1-0,00743690754027982i</v>
      </c>
      <c r="X60" s="4">
        <f t="shared" si="67"/>
        <v>1.00002765341453</v>
      </c>
      <c r="Y60" s="4">
        <f t="shared" si="68"/>
        <v>-0.00743677043900907</v>
      </c>
      <c r="Z60" t="str">
        <f t="shared" si="54"/>
        <v>0,9999999943524+0,000513500758733606i</v>
      </c>
      <c r="AA60" s="4">
        <f t="shared" si="69"/>
        <v>1.00000012619391</v>
      </c>
      <c r="AB60" s="4">
        <f t="shared" si="70"/>
        <v>0.000513500716499847</v>
      </c>
      <c r="AC60" s="67" t="str">
        <f t="shared" si="71"/>
        <v>48,9086644802969-16,7519783002411i</v>
      </c>
      <c r="AD60" s="68">
        <f t="shared" si="72"/>
        <v>34.2694797745886</v>
      </c>
      <c r="AE60" s="31">
        <f t="shared" si="73"/>
        <v>-18.9071296346942</v>
      </c>
      <c r="AF60" s="32" t="str">
        <f t="shared" si="74"/>
        <v>432,040091031901</v>
      </c>
      <c r="AG60" s="32" t="str">
        <f t="shared" si="55"/>
        <v>1+0,274216837699206i</v>
      </c>
      <c r="AH60" s="32">
        <f t="shared" si="75"/>
        <v>1.03691604003302</v>
      </c>
      <c r="AI60" s="32">
        <f t="shared" si="76"/>
        <v>0.267637965463211</v>
      </c>
      <c r="AJ60" s="32" t="str">
        <f t="shared" si="56"/>
        <v>1+0,0025913491162575i</v>
      </c>
      <c r="AK60" s="32">
        <f t="shared" si="77"/>
        <v>1.00000335753948</v>
      </c>
      <c r="AL60" s="32">
        <f t="shared" si="78"/>
        <v>0.00259134331589981</v>
      </c>
      <c r="AM60" s="32" t="str">
        <f t="shared" si="57"/>
        <v>1-0,000765026497882343i</v>
      </c>
      <c r="AN60" s="32">
        <f t="shared" si="79"/>
        <v>1.00000029263273</v>
      </c>
      <c r="AO60" s="32">
        <f t="shared" si="80"/>
        <v>-0.000765026348634513</v>
      </c>
      <c r="AP60" s="30" t="str">
        <f t="shared" si="81"/>
        <v>402,026950894108-109,45351455374i</v>
      </c>
      <c r="AQ60" s="32">
        <f t="shared" si="82"/>
        <v>52.3956408307519</v>
      </c>
      <c r="AR60" s="31">
        <f t="shared" si="83"/>
        <v>-15.2298856042327</v>
      </c>
      <c r="AS60" t="str">
        <f t="shared" si="58"/>
        <v>-0,000201496259351621</v>
      </c>
      <c r="AT60" t="str">
        <f t="shared" si="59"/>
        <v>0,0000371349583177972i</v>
      </c>
      <c r="AU60">
        <f t="shared" si="84"/>
        <v>3.71349583177972e-5</v>
      </c>
      <c r="AV60">
        <f t="shared" si="85"/>
        <v>1.5707963267949</v>
      </c>
      <c r="AW60" t="str">
        <f t="shared" si="60"/>
        <v>1+0,00190124175360958i</v>
      </c>
      <c r="AX60">
        <f t="shared" si="86"/>
        <v>1.00000180735847</v>
      </c>
      <c r="AY60">
        <f t="shared" si="87"/>
        <v>0.00190123946279555</v>
      </c>
      <c r="AZ60" t="str">
        <f t="shared" si="61"/>
        <v>1+0,0908955366034198i</v>
      </c>
      <c r="BA60">
        <f t="shared" si="88"/>
        <v>1.00412250177676</v>
      </c>
      <c r="BB60">
        <f t="shared" si="89"/>
        <v>0.0906464439795119</v>
      </c>
      <c r="BC60" s="30" t="str">
        <f t="shared" si="90"/>
        <v>-0,482886032708599+5,42697128145765i</v>
      </c>
      <c r="BD60" s="32">
        <f t="shared" si="91"/>
        <v>14.7253992382941</v>
      </c>
      <c r="BE60" s="31">
        <f t="shared" si="92"/>
        <v>95.0847256708332</v>
      </c>
      <c r="BF60" s="30" t="str">
        <f t="shared" si="93"/>
        <v>67,2951941870436+273,515213890443i</v>
      </c>
      <c r="BG60" s="68">
        <f t="shared" si="94"/>
        <v>48.9948790128826</v>
      </c>
      <c r="BH60" s="31">
        <f t="shared" si="95"/>
        <v>76.177596036139</v>
      </c>
      <c r="BI60" s="30" t="str">
        <f t="shared" si="103"/>
        <v>399,867880778563+2234,64229028318i</v>
      </c>
      <c r="BJ60" s="68">
        <f t="shared" si="97"/>
        <v>67.121040069046</v>
      </c>
      <c r="BK60" s="31">
        <f t="shared" si="104"/>
        <v>79.8548400666005</v>
      </c>
      <c r="BL60" s="32">
        <f t="shared" si="99"/>
        <v>48.9948790128826</v>
      </c>
      <c r="BM60" s="31">
        <f t="shared" si="100"/>
        <v>76.177596036139</v>
      </c>
      <c r="BO60">
        <f t="shared" si="101"/>
        <v>0</v>
      </c>
      <c r="BP60">
        <f t="shared" si="102"/>
        <v>0</v>
      </c>
    </row>
    <row r="61" spans="1:68">
      <c r="A61" t="s">
        <v>448</v>
      </c>
      <c r="B61" s="12">
        <f>(CCOMP+CHF)/(RCOMP*CHF*CCOMP)</f>
        <v>86924.5647969052</v>
      </c>
      <c r="E61" t="s">
        <v>507</v>
      </c>
      <c r="N61" s="7">
        <v>43</v>
      </c>
      <c r="O61" s="18">
        <f t="shared" si="62"/>
        <v>26.9153480392692</v>
      </c>
      <c r="P61" s="86" t="str">
        <f t="shared" si="50"/>
        <v>54,5454545454545</v>
      </c>
      <c r="Q61" s="4" t="str">
        <f t="shared" si="51"/>
        <v>1+0,344377843015484i</v>
      </c>
      <c r="R61" s="4">
        <f t="shared" si="63"/>
        <v>1.05763703545214</v>
      </c>
      <c r="S61" s="4">
        <f t="shared" si="64"/>
        <v>0.331657462829518</v>
      </c>
      <c r="T61" s="4" t="str">
        <f t="shared" si="52"/>
        <v>1+0,00265170939121923i</v>
      </c>
      <c r="U61" s="4">
        <f t="shared" si="65"/>
        <v>1.00000351577517</v>
      </c>
      <c r="V61" s="4">
        <f t="shared" si="66"/>
        <v>0.00265170317602517</v>
      </c>
      <c r="W61" t="str">
        <f t="shared" si="53"/>
        <v>1-0,00761013537020825i</v>
      </c>
      <c r="X61" s="4">
        <f t="shared" si="67"/>
        <v>1.00002895666093</v>
      </c>
      <c r="Y61" s="4">
        <f t="shared" si="68"/>
        <v>-0.00760998846377961</v>
      </c>
      <c r="Z61" t="str">
        <f t="shared" si="54"/>
        <v>0,999999994086237+0,00052546172794295i</v>
      </c>
      <c r="AA61" s="4">
        <f t="shared" si="69"/>
        <v>1.00000013214124</v>
      </c>
      <c r="AB61" s="4">
        <f t="shared" si="70"/>
        <v>0.000525461682688663</v>
      </c>
      <c r="AC61" s="67" t="str">
        <f t="shared" si="71"/>
        <v>48,671175953867-17,0603962374048i</v>
      </c>
      <c r="AD61" s="68">
        <f t="shared" si="72"/>
        <v>34.2487192016451</v>
      </c>
      <c r="AE61" s="31">
        <f t="shared" si="73"/>
        <v>-19.3167684214724</v>
      </c>
      <c r="AF61" s="32" t="str">
        <f t="shared" si="74"/>
        <v>432,040091031901</v>
      </c>
      <c r="AG61" s="32" t="str">
        <f t="shared" si="55"/>
        <v>1+0,280604168382987i</v>
      </c>
      <c r="AH61" s="32">
        <f t="shared" si="75"/>
        <v>1.0386234636835</v>
      </c>
      <c r="AI61" s="32">
        <f t="shared" si="76"/>
        <v>0.273568860319273</v>
      </c>
      <c r="AJ61" s="32" t="str">
        <f t="shared" si="56"/>
        <v>1+0,00265170939121923i</v>
      </c>
      <c r="AK61" s="32">
        <f t="shared" si="77"/>
        <v>1.00000351577517</v>
      </c>
      <c r="AL61" s="32">
        <f t="shared" si="78"/>
        <v>0.00265170317602517</v>
      </c>
      <c r="AM61" s="32" t="str">
        <f t="shared" si="57"/>
        <v>1-0,00078284625419209i</v>
      </c>
      <c r="AN61" s="32">
        <f t="shared" si="79"/>
        <v>1.00000030642408</v>
      </c>
      <c r="AO61" s="32">
        <f t="shared" si="80"/>
        <v>-0.000782846094270161</v>
      </c>
      <c r="AP61" s="30" t="str">
        <f t="shared" si="81"/>
        <v>400,715719807245-111,635077514655i</v>
      </c>
      <c r="AQ61" s="32">
        <f t="shared" si="82"/>
        <v>52.3813515858846</v>
      </c>
      <c r="AR61" s="31">
        <f t="shared" si="83"/>
        <v>-15.5672634792006</v>
      </c>
      <c r="AS61" t="str">
        <f t="shared" si="58"/>
        <v>-0,000201496259351621</v>
      </c>
      <c r="AT61" t="str">
        <f t="shared" si="59"/>
        <v>0,0000379999426152399i</v>
      </c>
      <c r="AU61">
        <f t="shared" si="84"/>
        <v>3.79999426152399e-5</v>
      </c>
      <c r="AV61">
        <f t="shared" si="85"/>
        <v>1.5707963267949</v>
      </c>
      <c r="AW61" t="str">
        <f t="shared" si="60"/>
        <v>1+0,00194552736310026i</v>
      </c>
      <c r="AX61">
        <f t="shared" si="86"/>
        <v>1.00000189253657</v>
      </c>
      <c r="AY61">
        <f t="shared" si="87"/>
        <v>0.00194552490844906</v>
      </c>
      <c r="AZ61" t="str">
        <f t="shared" si="61"/>
        <v>1+0,0930127656358785i</v>
      </c>
      <c r="BA61">
        <f t="shared" si="88"/>
        <v>1.00431637175306</v>
      </c>
      <c r="BB61">
        <f t="shared" si="89"/>
        <v>0.0927459199961732</v>
      </c>
      <c r="BC61" s="30" t="str">
        <f t="shared" si="90"/>
        <v>-0,482885950446127+5,30348061616333i</v>
      </c>
      <c r="BD61" s="32">
        <f t="shared" si="91"/>
        <v>14.5270753562757</v>
      </c>
      <c r="BE61" s="31">
        <f t="shared" si="92"/>
        <v>95.202479416647</v>
      </c>
      <c r="BF61" s="30" t="str">
        <f t="shared" si="93"/>
        <v>66,9768536893284+266,364863889295i</v>
      </c>
      <c r="BG61" s="68">
        <f t="shared" si="94"/>
        <v>48.7757945579208</v>
      </c>
      <c r="BH61" s="31">
        <f t="shared" si="95"/>
        <v>75.8857109951746</v>
      </c>
      <c r="BI61" s="30" t="str">
        <f t="shared" si="103"/>
        <v>398,554478465038+2179,09506309845i</v>
      </c>
      <c r="BJ61" s="68">
        <f t="shared" si="97"/>
        <v>66.9084269421604</v>
      </c>
      <c r="BK61" s="31">
        <f t="shared" si="104"/>
        <v>79.6352159374464</v>
      </c>
      <c r="BL61" s="32">
        <f t="shared" si="99"/>
        <v>48.7757945579208</v>
      </c>
      <c r="BM61" s="31">
        <f t="shared" si="100"/>
        <v>75.8857109951746</v>
      </c>
      <c r="BO61">
        <f t="shared" si="101"/>
        <v>0</v>
      </c>
      <c r="BP61">
        <f t="shared" si="102"/>
        <v>0</v>
      </c>
    </row>
    <row r="62" spans="1:68">
      <c r="N62" s="7">
        <v>44</v>
      </c>
      <c r="O62" s="18">
        <f t="shared" si="62"/>
        <v>27.5422870333817</v>
      </c>
      <c r="P62" s="86" t="str">
        <f t="shared" si="50"/>
        <v>54,5454545454545</v>
      </c>
      <c r="Q62" s="4" t="str">
        <f t="shared" si="51"/>
        <v>1+0,352399433454507i</v>
      </c>
      <c r="R62" s="4">
        <f t="shared" si="63"/>
        <v>1.06027607758501</v>
      </c>
      <c r="S62" s="4">
        <f t="shared" si="64"/>
        <v>0.338810798012067</v>
      </c>
      <c r="T62" s="4" t="str">
        <f t="shared" si="52"/>
        <v>1+0,00271347563759971i</v>
      </c>
      <c r="U62" s="4">
        <f t="shared" si="65"/>
        <v>1.00000368146824</v>
      </c>
      <c r="V62" s="4">
        <f t="shared" si="66"/>
        <v>0.00271346897790062</v>
      </c>
      <c r="W62" t="str">
        <f t="shared" si="53"/>
        <v>1-0,00778739819464202i</v>
      </c>
      <c r="X62" s="4">
        <f t="shared" si="67"/>
        <v>1.00003032132563</v>
      </c>
      <c r="Y62" s="4">
        <f t="shared" si="68"/>
        <v>-0.00778724078182545</v>
      </c>
      <c r="Z62" t="str">
        <f t="shared" si="54"/>
        <v>0,99999999380753+0,000537701303915758i</v>
      </c>
      <c r="AA62" s="4">
        <f t="shared" si="69"/>
        <v>1.00000013836887</v>
      </c>
      <c r="AB62" s="4">
        <f t="shared" si="70"/>
        <v>0.000537701255424916</v>
      </c>
      <c r="AC62" s="67" t="str">
        <f t="shared" si="71"/>
        <v>48,4249120911465-17,3710006935702i</v>
      </c>
      <c r="AD62" s="68">
        <f t="shared" si="72"/>
        <v>34.22708618762</v>
      </c>
      <c r="AE62" s="31">
        <f t="shared" si="73"/>
        <v>-19.7339425027029</v>
      </c>
      <c r="AF62" s="32" t="str">
        <f t="shared" si="74"/>
        <v>432,040091031901</v>
      </c>
      <c r="AG62" s="32" t="str">
        <f t="shared" si="55"/>
        <v>1+0,28714027911108i</v>
      </c>
      <c r="AH62" s="32">
        <f t="shared" si="75"/>
        <v>1.04040835246935</v>
      </c>
      <c r="AI62" s="32">
        <f t="shared" si="76"/>
        <v>0.279617533081992</v>
      </c>
      <c r="AJ62" s="32" t="str">
        <f t="shared" si="56"/>
        <v>1+0,00271347563759971i</v>
      </c>
      <c r="AK62" s="32">
        <f t="shared" si="77"/>
        <v>1.00000368146824</v>
      </c>
      <c r="AL62" s="32">
        <f t="shared" si="78"/>
        <v>0.00271346897790062</v>
      </c>
      <c r="AM62" s="32" t="str">
        <f t="shared" si="57"/>
        <v>1-0,000801081085948005i</v>
      </c>
      <c r="AN62" s="32">
        <f t="shared" si="79"/>
        <v>1.0000003208654</v>
      </c>
      <c r="AO62" s="32">
        <f t="shared" si="80"/>
        <v>-0.000801080914588574</v>
      </c>
      <c r="AP62" s="30" t="str">
        <f t="shared" si="81"/>
        <v>399,351894446316-113,843783318669i</v>
      </c>
      <c r="AQ62" s="32">
        <f t="shared" si="82"/>
        <v>52.3664391403425</v>
      </c>
      <c r="AR62" s="31">
        <f t="shared" si="83"/>
        <v>-15.9113327586388</v>
      </c>
      <c r="AS62" t="str">
        <f t="shared" si="58"/>
        <v>-0,000201496259351621</v>
      </c>
      <c r="AT62" t="str">
        <f t="shared" si="59"/>
        <v>0,0000388850749852457i</v>
      </c>
      <c r="AU62">
        <f t="shared" si="84"/>
        <v>3.88850749852457e-5</v>
      </c>
      <c r="AV62">
        <f t="shared" si="85"/>
        <v>1.5707963267949</v>
      </c>
      <c r="AW62" t="str">
        <f t="shared" si="60"/>
        <v>1+0,00199084451695096i</v>
      </c>
      <c r="AX62">
        <f t="shared" si="86"/>
        <v>1.00000198172898</v>
      </c>
      <c r="AY62">
        <f t="shared" si="87"/>
        <v>0.00199084188674509</v>
      </c>
      <c r="AZ62" t="str">
        <f t="shared" si="61"/>
        <v>1+0,0951793112678467i</v>
      </c>
      <c r="BA62">
        <f t="shared" si="88"/>
        <v>1.00451933843676</v>
      </c>
      <c r="BB62">
        <f t="shared" si="89"/>
        <v>0.0948934504445994</v>
      </c>
      <c r="BC62" s="30" t="str">
        <f t="shared" si="90"/>
        <v>-0,482885864306778+5,18280192647654i</v>
      </c>
      <c r="BD62" s="32">
        <f t="shared" si="91"/>
        <v>14.3288297735985</v>
      </c>
      <c r="BE62" s="31">
        <f t="shared" si="92"/>
        <v>95.322927376121</v>
      </c>
      <c r="BF62" s="30" t="str">
        <f t="shared" si="93"/>
        <v>66,6467503303479+259,364938359239i</v>
      </c>
      <c r="BG62" s="68">
        <f t="shared" si="94"/>
        <v>48.5559159612186</v>
      </c>
      <c r="BH62" s="31">
        <f t="shared" si="95"/>
        <v>75.5889848734181</v>
      </c>
      <c r="BI62" s="30" t="str">
        <f t="shared" si="103"/>
        <v>397,188394789117+2124,73532158221i</v>
      </c>
      <c r="BJ62" s="68">
        <f t="shared" si="97"/>
        <v>66.695268913941</v>
      </c>
      <c r="BK62" s="31">
        <f t="shared" si="104"/>
        <v>79.4115946174822</v>
      </c>
      <c r="BL62" s="32">
        <f t="shared" si="99"/>
        <v>48.5559159612186</v>
      </c>
      <c r="BM62" s="31">
        <f t="shared" si="100"/>
        <v>75.5889848734181</v>
      </c>
      <c r="BO62">
        <f t="shared" si="101"/>
        <v>0</v>
      </c>
      <c r="BP62">
        <f t="shared" si="102"/>
        <v>0</v>
      </c>
    </row>
    <row r="63" spans="1:68">
      <c r="N63" s="7">
        <v>45</v>
      </c>
      <c r="O63" s="18">
        <f t="shared" si="62"/>
        <v>28.1838293126445</v>
      </c>
      <c r="P63" s="86" t="str">
        <f t="shared" si="50"/>
        <v>54,5454545454545</v>
      </c>
      <c r="Q63" s="4" t="str">
        <f t="shared" si="51"/>
        <v>1+0,360607870737703i</v>
      </c>
      <c r="R63" s="4">
        <f t="shared" si="63"/>
        <v>1.0630324719584</v>
      </c>
      <c r="S63" s="4">
        <f t="shared" si="64"/>
        <v>0.346093605494242</v>
      </c>
      <c r="T63" s="4" t="str">
        <f t="shared" si="52"/>
        <v>1+0,00277668060468032i</v>
      </c>
      <c r="U63" s="4">
        <f t="shared" si="65"/>
        <v>1.00000385497016</v>
      </c>
      <c r="V63" s="4">
        <f t="shared" si="66"/>
        <v>0.00277667346868566</v>
      </c>
      <c r="W63" t="str">
        <f t="shared" si="53"/>
        <v>1-0,00796879000067693i</v>
      </c>
      <c r="X63" s="4">
        <f t="shared" si="67"/>
        <v>1.000031750303</v>
      </c>
      <c r="Y63" s="4">
        <f t="shared" si="68"/>
        <v>-0.00796862133009431</v>
      </c>
      <c r="Z63" t="str">
        <f t="shared" si="54"/>
        <v>0,999999993515688+0,000550225976237216i</v>
      </c>
      <c r="AA63" s="4">
        <f t="shared" si="69"/>
        <v>1.00000014488999</v>
      </c>
      <c r="AB63" s="4">
        <f t="shared" si="70"/>
        <v>0.000550225924278343</v>
      </c>
      <c r="AC63" s="67" t="str">
        <f t="shared" si="71"/>
        <v>48,1696531714082-17,6835749288214i</v>
      </c>
      <c r="AD63" s="68">
        <f t="shared" si="72"/>
        <v>34.2045486866922</v>
      </c>
      <c r="AE63" s="31">
        <f t="shared" si="73"/>
        <v>-20.1587052344363</v>
      </c>
      <c r="AF63" s="32" t="str">
        <f t="shared" si="74"/>
        <v>432,040091031901</v>
      </c>
      <c r="AG63" s="32" t="str">
        <f t="shared" si="55"/>
        <v>1+0,293828635415906i</v>
      </c>
      <c r="AH63" s="32">
        <f t="shared" si="75"/>
        <v>1.04227408438969</v>
      </c>
      <c r="AI63" s="32">
        <f t="shared" si="76"/>
        <v>0.285785419749402</v>
      </c>
      <c r="AJ63" s="32" t="str">
        <f t="shared" si="56"/>
        <v>1+0,00277668060468032i</v>
      </c>
      <c r="AK63" s="32">
        <f t="shared" si="77"/>
        <v>1.00000385497016</v>
      </c>
      <c r="AL63" s="32">
        <f t="shared" si="78"/>
        <v>0.00277667346868566</v>
      </c>
      <c r="AM63" s="32" t="str">
        <f t="shared" si="57"/>
        <v>1-0,000819740661499246i</v>
      </c>
      <c r="AN63" s="32">
        <f t="shared" si="79"/>
        <v>1.00000033598732</v>
      </c>
      <c r="AO63" s="32">
        <f t="shared" si="80"/>
        <v>-0.000819740477884311</v>
      </c>
      <c r="AP63" s="30" t="str">
        <f t="shared" si="81"/>
        <v>397,933780453066-116,078863185221i</v>
      </c>
      <c r="AQ63" s="32">
        <f t="shared" si="82"/>
        <v>52.3508785925502</v>
      </c>
      <c r="AR63" s="31">
        <f t="shared" si="83"/>
        <v>-16.2621743968525</v>
      </c>
      <c r="AS63" t="str">
        <f t="shared" si="58"/>
        <v>-0,000201496259351621</v>
      </c>
      <c r="AT63" t="str">
        <f t="shared" si="59"/>
        <v>0,0000397908247367135i</v>
      </c>
      <c r="AU63">
        <f t="shared" si="84"/>
        <v>3.97908247367135e-5</v>
      </c>
      <c r="AV63">
        <f t="shared" si="85"/>
        <v>1.5707963267949</v>
      </c>
      <c r="AW63" t="str">
        <f t="shared" si="60"/>
        <v>1+0,00203721724291647i</v>
      </c>
      <c r="AX63">
        <f t="shared" si="86"/>
        <v>1.00000207512489</v>
      </c>
      <c r="AY63">
        <f t="shared" si="87"/>
        <v>0.00203721442460042</v>
      </c>
      <c r="AZ63" t="str">
        <f t="shared" si="61"/>
        <v>1+0,0973963222304956i</v>
      </c>
      <c r="BA63">
        <f t="shared" si="88"/>
        <v>1.00473182670005</v>
      </c>
      <c r="BB63">
        <f t="shared" si="89"/>
        <v>0.0970900946968263</v>
      </c>
      <c r="BC63" s="30" t="str">
        <f t="shared" si="90"/>
        <v>-0,482885774107836+5,06487122695747i</v>
      </c>
      <c r="BD63" s="32">
        <f t="shared" si="91"/>
        <v>14.1306661140879</v>
      </c>
      <c r="BE63" s="31">
        <f t="shared" si="92"/>
        <v>95.4461288701609</v>
      </c>
      <c r="BF63" s="30" t="str">
        <f t="shared" si="93"/>
        <v>66,3045895865526+252,512237128884i</v>
      </c>
      <c r="BG63" s="68">
        <f t="shared" si="94"/>
        <v>48.3352148007801</v>
      </c>
      <c r="BH63" s="31">
        <f t="shared" si="95"/>
        <v>75.2874236357246</v>
      </c>
      <c r="BI63" s="30" t="str">
        <f t="shared" si="103"/>
        <v>395,767932587022+2071,5361865579i</v>
      </c>
      <c r="BJ63" s="68">
        <f t="shared" si="97"/>
        <v>66.4815447066381</v>
      </c>
      <c r="BK63" s="31">
        <f t="shared" si="104"/>
        <v>79.1839544733083</v>
      </c>
      <c r="BL63" s="32">
        <f t="shared" si="99"/>
        <v>48.3352148007801</v>
      </c>
      <c r="BM63" s="31">
        <f t="shared" si="100"/>
        <v>75.2874236357246</v>
      </c>
      <c r="BO63">
        <f t="shared" si="101"/>
        <v>0</v>
      </c>
      <c r="BP63">
        <f t="shared" si="102"/>
        <v>0</v>
      </c>
    </row>
    <row r="64" spans="1:68">
      <c r="N64" s="7">
        <v>46</v>
      </c>
      <c r="O64" s="18">
        <f t="shared" si="62"/>
        <v>28.8403150312661</v>
      </c>
      <c r="P64" s="86" t="str">
        <f t="shared" si="50"/>
        <v>54,5454545454545</v>
      </c>
      <c r="Q64" s="4" t="str">
        <f t="shared" si="51"/>
        <v>1+0,369007507087178i</v>
      </c>
      <c r="R64" s="4">
        <f t="shared" si="63"/>
        <v>1.06591113151458</v>
      </c>
      <c r="S64" s="4">
        <f t="shared" si="64"/>
        <v>0.353506655562478</v>
      </c>
      <c r="T64" s="4" t="str">
        <f t="shared" si="52"/>
        <v>1+0,00284135780457127i</v>
      </c>
      <c r="U64" s="4">
        <f t="shared" si="65"/>
        <v>1.00000403664894</v>
      </c>
      <c r="V64" s="4">
        <f t="shared" si="66"/>
        <v>0.0028413501582169</v>
      </c>
      <c r="W64" t="str">
        <f t="shared" si="53"/>
        <v>1-0,0081544069646497i</v>
      </c>
      <c r="X64" s="4">
        <f t="shared" si="67"/>
        <v>1.0000332466238</v>
      </c>
      <c r="Y64" s="4">
        <f t="shared" si="68"/>
        <v>-0.00815422623118871</v>
      </c>
      <c r="Z64" t="str">
        <f t="shared" si="54"/>
        <v>0,999999993210092+0,000563042385654384i</v>
      </c>
      <c r="AA64" s="4">
        <f t="shared" si="69"/>
        <v>1.00000015171844</v>
      </c>
      <c r="AB64" s="4">
        <f t="shared" si="70"/>
        <v>0.000563042329979449</v>
      </c>
      <c r="AC64" s="67" t="str">
        <f t="shared" si="71"/>
        <v>47,9051829014695-17,9978868156861i</v>
      </c>
      <c r="AD64" s="68">
        <f t="shared" si="72"/>
        <v>34.1810738671536</v>
      </c>
      <c r="AE64" s="31">
        <f t="shared" si="73"/>
        <v>-20.5911047187673</v>
      </c>
      <c r="AF64" s="32" t="str">
        <f t="shared" si="74"/>
        <v>432,040091031901</v>
      </c>
      <c r="AG64" s="32" t="str">
        <f t="shared" si="55"/>
        <v>1+0,300672783552515i</v>
      </c>
      <c r="AH64" s="32">
        <f t="shared" si="75"/>
        <v>1.04422417266084</v>
      </c>
      <c r="AI64" s="32">
        <f t="shared" si="76"/>
        <v>0.292073912744842</v>
      </c>
      <c r="AJ64" s="32" t="str">
        <f t="shared" si="56"/>
        <v>1+0,00284135780457127i</v>
      </c>
      <c r="AK64" s="32">
        <f t="shared" si="77"/>
        <v>1.00000403664894</v>
      </c>
      <c r="AL64" s="32">
        <f t="shared" si="78"/>
        <v>0.0028413501582169</v>
      </c>
      <c r="AM64" s="32" t="str">
        <f t="shared" si="57"/>
        <v>1-0,000838834874399773i</v>
      </c>
      <c r="AN64" s="32">
        <f t="shared" si="79"/>
        <v>1.00000035182191</v>
      </c>
      <c r="AO64" s="32">
        <f t="shared" si="80"/>
        <v>-0.000838834677652829</v>
      </c>
      <c r="AP64" s="30" t="str">
        <f t="shared" si="81"/>
        <v>396,459665614916-118,339461037691i</v>
      </c>
      <c r="AQ64" s="32">
        <f t="shared" si="82"/>
        <v>52.3346442471705</v>
      </c>
      <c r="AR64" s="31">
        <f t="shared" si="83"/>
        <v>-16.6198668207057</v>
      </c>
      <c r="AS64" t="str">
        <f t="shared" si="58"/>
        <v>-0,000201496259351621</v>
      </c>
      <c r="AT64" t="str">
        <f t="shared" si="59"/>
        <v>0,0000407176721101507i</v>
      </c>
      <c r="AU64">
        <f t="shared" si="84"/>
        <v>4.07176721101507e-5</v>
      </c>
      <c r="AV64">
        <f t="shared" si="85"/>
        <v>1.5707963267949</v>
      </c>
      <c r="AW64" t="str">
        <f t="shared" si="60"/>
        <v>1+0,00208467012842995i</v>
      </c>
      <c r="AX64">
        <f t="shared" si="86"/>
        <v>1.00000217292241</v>
      </c>
      <c r="AY64">
        <f t="shared" si="87"/>
        <v>0.00208466710855025</v>
      </c>
      <c r="AZ64" t="str">
        <f t="shared" si="61"/>
        <v>1+0,099664974012385i</v>
      </c>
      <c r="BA64">
        <f t="shared" si="88"/>
        <v>1.00495428107197</v>
      </c>
      <c r="BB64">
        <f t="shared" si="89"/>
        <v>0.0993369326012563</v>
      </c>
      <c r="BC64" s="30" t="str">
        <f t="shared" si="90"/>
        <v>-0,482885679657988+4,94962598918708i</v>
      </c>
      <c r="BD64" s="32">
        <f t="shared" si="91"/>
        <v>13.932588166048</v>
      </c>
      <c r="BE64" s="31">
        <f t="shared" si="92"/>
        <v>95.5721443608178</v>
      </c>
      <c r="BF64" s="30" t="str">
        <f t="shared" si="93"/>
        <v>65,9500815288511+245,803660113274i</v>
      </c>
      <c r="BG64" s="68">
        <f t="shared" si="94"/>
        <v>48.1136620332016</v>
      </c>
      <c r="BH64" s="31">
        <f t="shared" si="95"/>
        <v>74.9810396420506</v>
      </c>
      <c r="BI64" s="30" t="str">
        <f t="shared" si="103"/>
        <v>394,29137681111+2019,47149566555i</v>
      </c>
      <c r="BJ64" s="68">
        <f t="shared" si="97"/>
        <v>66.2672324132185</v>
      </c>
      <c r="BK64" s="31">
        <f t="shared" si="104"/>
        <v>78.9522775401121</v>
      </c>
      <c r="BL64" s="32">
        <f t="shared" si="99"/>
        <v>48.1136620332016</v>
      </c>
      <c r="BM64" s="31">
        <f t="shared" si="100"/>
        <v>74.9810396420506</v>
      </c>
      <c r="BO64">
        <f t="shared" si="101"/>
        <v>0</v>
      </c>
      <c r="BP64">
        <f t="shared" si="102"/>
        <v>0</v>
      </c>
    </row>
    <row r="65" spans="1:68">
      <c r="A65" s="79" t="s">
        <v>508</v>
      </c>
      <c r="N65" s="7">
        <v>47</v>
      </c>
      <c r="O65" s="18">
        <f t="shared" si="62"/>
        <v>29.5120922666639</v>
      </c>
      <c r="P65" s="86" t="str">
        <f t="shared" si="50"/>
        <v>54,5454545454545</v>
      </c>
      <c r="Q65" s="4" t="str">
        <f t="shared" si="51"/>
        <v>1+0,377602796101299i</v>
      </c>
      <c r="R65" s="4">
        <f t="shared" si="63"/>
        <v>1.06891714909226</v>
      </c>
      <c r="S65" s="4">
        <f t="shared" si="64"/>
        <v>0.361050618764584</v>
      </c>
      <c r="T65" s="4" t="str">
        <f t="shared" si="52"/>
        <v>1+0,00290754152998001i</v>
      </c>
      <c r="U65" s="4">
        <f t="shared" si="65"/>
        <v>1.00000422688994</v>
      </c>
      <c r="V65" s="4">
        <f t="shared" si="66"/>
        <v>0.00290753333676556</v>
      </c>
      <c r="W65" t="str">
        <f t="shared" si="53"/>
        <v>1-0,0083443475031314i</v>
      </c>
      <c r="X65" s="4">
        <f t="shared" si="67"/>
        <v>1.00003481346164</v>
      </c>
      <c r="Y65" s="4">
        <f t="shared" si="68"/>
        <v>-0.00834415384410296</v>
      </c>
      <c r="Z65" t="str">
        <f t="shared" si="54"/>
        <v>0,999999992890093+0,000576157327597168i</v>
      </c>
      <c r="AA65" s="4">
        <f t="shared" si="69"/>
        <v>1.00000015886871</v>
      </c>
      <c r="AB65" s="4">
        <f t="shared" si="70"/>
        <v>0.000576157267940401</v>
      </c>
      <c r="AC65" s="67" t="str">
        <f t="shared" si="71"/>
        <v>47,63128933428-18,31368850708i</v>
      </c>
      <c r="AD65" s="68">
        <f t="shared" si="72"/>
        <v>34.156628125485</v>
      </c>
      <c r="AE65" s="31">
        <f t="shared" si="73"/>
        <v>-21.031183435471</v>
      </c>
      <c r="AF65" s="32" t="str">
        <f t="shared" si="74"/>
        <v>432,040091031901</v>
      </c>
      <c r="AG65" s="32" t="str">
        <f t="shared" si="55"/>
        <v>1+0,307676352378836i</v>
      </c>
      <c r="AH65" s="32">
        <f t="shared" si="75"/>
        <v>1.04626227008965</v>
      </c>
      <c r="AI65" s="32">
        <f t="shared" si="76"/>
        <v>0.298484356126344</v>
      </c>
      <c r="AJ65" s="32" t="str">
        <f t="shared" si="56"/>
        <v>1+0,00290754152998001i</v>
      </c>
      <c r="AK65" s="32">
        <f t="shared" si="77"/>
        <v>1.00000422688994</v>
      </c>
      <c r="AL65" s="32">
        <f t="shared" si="78"/>
        <v>0.00290753333676556</v>
      </c>
      <c r="AM65" s="32" t="str">
        <f t="shared" si="57"/>
        <v>1-0,000858373848653993i</v>
      </c>
      <c r="AN65" s="32">
        <f t="shared" si="79"/>
        <v>1.00000036840276</v>
      </c>
      <c r="AO65" s="32">
        <f t="shared" si="80"/>
        <v>-0.000858373637835848</v>
      </c>
      <c r="AP65" s="30" t="str">
        <f t="shared" si="81"/>
        <v>394,927823279073-120,624629527839i</v>
      </c>
      <c r="AQ65" s="32">
        <f t="shared" si="82"/>
        <v>52.3177096075726</v>
      </c>
      <c r="AR65" s="31">
        <f t="shared" si="83"/>
        <v>-16.9844856544224</v>
      </c>
      <c r="AS65" t="str">
        <f t="shared" si="58"/>
        <v>-0,000201496259351621</v>
      </c>
      <c r="AT65" t="str">
        <f t="shared" si="59"/>
        <v>0,0000416661085323027i</v>
      </c>
      <c r="AU65">
        <f t="shared" si="84"/>
        <v>4.16661085323027e-5</v>
      </c>
      <c r="AV65">
        <f t="shared" si="85"/>
        <v>1.5707963267949</v>
      </c>
      <c r="AW65" t="str">
        <f t="shared" si="60"/>
        <v>1+0,00213322833363939i</v>
      </c>
      <c r="AX65">
        <f t="shared" si="86"/>
        <v>1.00000227532897</v>
      </c>
      <c r="AY65">
        <f t="shared" si="87"/>
        <v>0.00213322509778039</v>
      </c>
      <c r="AZ65" t="str">
        <f t="shared" si="61"/>
        <v>1+0,101986469482717i</v>
      </c>
      <c r="BA65">
        <f t="shared" si="88"/>
        <v>1.00518716662995</v>
      </c>
      <c r="BB65">
        <f t="shared" si="89"/>
        <v>0.101635064669901</v>
      </c>
      <c r="BC65" s="30" t="str">
        <f t="shared" si="90"/>
        <v>-0,482885580756894+4,83700510861367i</v>
      </c>
      <c r="BD65" s="32">
        <f t="shared" si="91"/>
        <v>13.7345998894178</v>
      </c>
      <c r="BE65" s="31">
        <f t="shared" si="92"/>
        <v>95.7010354612703</v>
      </c>
      <c r="BF65" s="30" t="str">
        <f t="shared" si="93"/>
        <v>65,582942053922+239,23620595031i</v>
      </c>
      <c r="BG65" s="68">
        <f t="shared" si="94"/>
        <v>47.8912280149028</v>
      </c>
      <c r="BH65" s="31">
        <f t="shared" si="95"/>
        <v>74.6698520257993</v>
      </c>
      <c r="BI65" s="30" t="str">
        <f t="shared" si="103"/>
        <v>392,756997949617+1968,51579301769i</v>
      </c>
      <c r="BJ65" s="68">
        <f t="shared" si="97"/>
        <v>66.0523094969904</v>
      </c>
      <c r="BK65" s="31">
        <f t="shared" si="104"/>
        <v>78.7165498068479</v>
      </c>
      <c r="BL65" s="32">
        <f t="shared" si="99"/>
        <v>47.8912280149028</v>
      </c>
      <c r="BM65" s="31">
        <f t="shared" si="100"/>
        <v>74.6698520257993</v>
      </c>
      <c r="BO65">
        <f t="shared" si="101"/>
        <v>0</v>
      </c>
      <c r="BP65">
        <f t="shared" si="102"/>
        <v>0</v>
      </c>
    </row>
    <row r="66" spans="1:68">
      <c r="A66" t="s">
        <v>509</v>
      </c>
      <c r="B66">
        <f>SQRT((2*IOUT*Lm*Fsw*(VOUT-VIN_var)/(VIN_var^2)))</f>
        <v>6.48074069840786</v>
      </c>
      <c r="E66" t="s">
        <v>510</v>
      </c>
      <c r="N66" s="7">
        <v>48</v>
      </c>
      <c r="O66" s="18">
        <f t="shared" si="62"/>
        <v>30.1995172040202</v>
      </c>
      <c r="P66" s="86" t="str">
        <f t="shared" si="50"/>
        <v>54,5454545454545</v>
      </c>
      <c r="Q66" s="4" t="str">
        <f t="shared" si="51"/>
        <v>1+0,386398295116078i</v>
      </c>
      <c r="R66" s="4">
        <f t="shared" si="63"/>
        <v>1.07205580193785</v>
      </c>
      <c r="S66" s="4">
        <f t="shared" si="64"/>
        <v>0.368726059315534</v>
      </c>
      <c r="T66" s="4" t="str">
        <f t="shared" si="52"/>
        <v>1+0,0029752668723938i</v>
      </c>
      <c r="U66" s="4">
        <f t="shared" si="65"/>
        <v>1.00000442609669</v>
      </c>
      <c r="V66" s="4">
        <f t="shared" si="66"/>
        <v>0.00297525809320844</v>
      </c>
      <c r="W66" t="str">
        <f t="shared" si="53"/>
        <v>1-0,00853871232510977i</v>
      </c>
      <c r="X66" s="4">
        <f t="shared" si="67"/>
        <v>1.00003645413963</v>
      </c>
      <c r="Y66" s="4">
        <f t="shared" si="68"/>
        <v>-0.0085385048161307</v>
      </c>
      <c r="Z66" t="str">
        <f t="shared" si="54"/>
        <v>0,999999992555014+0,000589577755781389i</v>
      </c>
      <c r="AA66" s="4">
        <f t="shared" si="69"/>
        <v>1.00000016635597</v>
      </c>
      <c r="AB66" s="4">
        <f t="shared" si="70"/>
        <v>0.000589577691858011</v>
      </c>
      <c r="AC66" s="67" t="str">
        <f t="shared" si="71"/>
        <v>47,347765844411-18,6307161506401i</v>
      </c>
      <c r="AD66" s="68">
        <f t="shared" si="72"/>
        <v>34.1311771038529</v>
      </c>
      <c r="AE66" s="31">
        <f t="shared" si="73"/>
        <v>-21.4789778663225</v>
      </c>
      <c r="AF66" s="32" t="str">
        <f t="shared" si="74"/>
        <v>432,040091031901</v>
      </c>
      <c r="AG66" s="32" t="str">
        <f t="shared" si="55"/>
        <v>1+0,314843055279767i</v>
      </c>
      <c r="AH66" s="32">
        <f t="shared" si="75"/>
        <v>1.04839217350088</v>
      </c>
      <c r="AI66" s="32">
        <f t="shared" si="76"/>
        <v>0.305018040583415</v>
      </c>
      <c r="AJ66" s="32" t="str">
        <f t="shared" si="56"/>
        <v>1+0,0029752668723938i</v>
      </c>
      <c r="AK66" s="32">
        <f t="shared" si="77"/>
        <v>1.00000442609669</v>
      </c>
      <c r="AL66" s="32">
        <f t="shared" si="78"/>
        <v>0.00297525809320844</v>
      </c>
      <c r="AM66" s="32" t="str">
        <f t="shared" si="57"/>
        <v>1-0,000878367944084692i</v>
      </c>
      <c r="AN66" s="32">
        <f t="shared" si="79"/>
        <v>1.00000038576505</v>
      </c>
      <c r="AO66" s="32">
        <f t="shared" si="80"/>
        <v>-0.000878367718188985</v>
      </c>
      <c r="AP66" s="30" t="str">
        <f t="shared" si="81"/>
        <v>393,336516134821-122,933326089115i</v>
      </c>
      <c r="AQ66" s="32">
        <f t="shared" si="82"/>
        <v>52.3000473699768</v>
      </c>
      <c r="AR66" s="31">
        <f t="shared" si="83"/>
        <v>-17.3561034321895</v>
      </c>
      <c r="AS66" t="str">
        <f t="shared" si="58"/>
        <v>-0,000201496259351621</v>
      </c>
      <c r="AT66" t="str">
        <f t="shared" si="59"/>
        <v>0,0000426366368767147i</v>
      </c>
      <c r="AU66">
        <f t="shared" si="84"/>
        <v>4.26366368767147e-5</v>
      </c>
      <c r="AV66">
        <f t="shared" si="85"/>
        <v>1.5707963267949</v>
      </c>
      <c r="AW66" t="str">
        <f t="shared" si="60"/>
        <v>1+0,00218291760474794i</v>
      </c>
      <c r="AX66">
        <f t="shared" si="86"/>
        <v>1.0000023825618</v>
      </c>
      <c r="AY66">
        <f t="shared" si="87"/>
        <v>0.002182914137463</v>
      </c>
      <c r="AZ66" t="str">
        <f t="shared" si="61"/>
        <v>1+0,104362039529119i</v>
      </c>
      <c r="BA66">
        <f t="shared" si="88"/>
        <v>1.00543096993015</v>
      </c>
      <c r="BB66">
        <f t="shared" si="89"/>
        <v>0.103985612250547</v>
      </c>
      <c r="BC66" s="30" t="str">
        <f t="shared" si="90"/>
        <v>-0,482885477194776+4,72694887215428i</v>
      </c>
      <c r="BD66" s="32">
        <f t="shared" si="91"/>
        <v>13.5367054232092</v>
      </c>
      <c r="BE66" s="31">
        <f t="shared" si="92"/>
        <v>95.8328649449241</v>
      </c>
      <c r="BF66" s="30" t="str">
        <f t="shared" si="93"/>
        <v>65,2028941918098+232,806970616146i</v>
      </c>
      <c r="BG66" s="68">
        <f t="shared" si="94"/>
        <v>47.6678825270621</v>
      </c>
      <c r="BH66" s="31">
        <f t="shared" si="95"/>
        <v>74.3538870786016</v>
      </c>
      <c r="BI66" s="30" t="str">
        <f t="shared" si="103"/>
        <v>391,163055815223+1918,64431915227i</v>
      </c>
      <c r="BJ66" s="68">
        <f t="shared" si="97"/>
        <v>65.836752793186</v>
      </c>
      <c r="BK66" s="31">
        <f t="shared" si="104"/>
        <v>78.4767615127346</v>
      </c>
      <c r="BL66" s="32">
        <f t="shared" si="99"/>
        <v>47.6678825270621</v>
      </c>
      <c r="BM66" s="31">
        <f t="shared" si="100"/>
        <v>74.3538870786016</v>
      </c>
      <c r="BO66">
        <f t="shared" si="101"/>
        <v>0</v>
      </c>
      <c r="BP66">
        <f t="shared" si="102"/>
        <v>0</v>
      </c>
    </row>
    <row r="67" spans="1:68">
      <c r="A67" t="s">
        <v>342</v>
      </c>
      <c r="B67">
        <f>(Fsw*Gcomp)/((R_cs*Acs*(VIN_var/Lm))+((R_sl+Rsl_int)*Isl))</f>
        <v>157.496613822803</v>
      </c>
      <c r="C67" t="s">
        <v>244</v>
      </c>
      <c r="E67" t="s">
        <v>511</v>
      </c>
      <c r="N67" s="7">
        <v>49</v>
      </c>
      <c r="O67" s="18">
        <f t="shared" si="62"/>
        <v>30.9029543251359</v>
      </c>
      <c r="P67" s="86" t="str">
        <f t="shared" si="50"/>
        <v>54,5454545454545</v>
      </c>
      <c r="Q67" s="4" t="str">
        <f t="shared" si="51"/>
        <v>1+0,395398667621513i</v>
      </c>
      <c r="R67" s="4">
        <f t="shared" si="63"/>
        <v>1.07533255616896</v>
      </c>
      <c r="S67" s="4">
        <f t="shared" si="64"/>
        <v>0.37653342839525</v>
      </c>
      <c r="T67" s="4" t="str">
        <f t="shared" si="52"/>
        <v>1+0,00304456974068565i</v>
      </c>
      <c r="U67" s="4">
        <f t="shared" si="65"/>
        <v>1.00000463469171</v>
      </c>
      <c r="V67" s="4">
        <f t="shared" si="66"/>
        <v>0.00304456033362141</v>
      </c>
      <c r="W67" t="str">
        <f t="shared" si="53"/>
        <v>1-0,00873760448538613i</v>
      </c>
      <c r="X67" s="4">
        <f t="shared" si="67"/>
        <v>1.00003817213752</v>
      </c>
      <c r="Y67" s="4">
        <f t="shared" si="68"/>
        <v>-0.00873738213596743</v>
      </c>
      <c r="Z67" t="str">
        <f t="shared" si="54"/>
        <v>0,999999992204142+0,000603310785895708i</v>
      </c>
      <c r="AA67" s="4">
        <f t="shared" si="69"/>
        <v>1.00000017419608</v>
      </c>
      <c r="AB67" s="4">
        <f t="shared" si="70"/>
        <v>0.000603310717400576</v>
      </c>
      <c r="AC67" s="67" t="str">
        <f t="shared" si="71"/>
        <v>47,0544121594836-18,9486896558661i</v>
      </c>
      <c r="AD67" s="68">
        <f t="shared" si="72"/>
        <v>34.1046857112322</v>
      </c>
      <c r="AE67" s="31">
        <f t="shared" si="73"/>
        <v>-21.9345181132758</v>
      </c>
      <c r="AF67" s="32" t="str">
        <f t="shared" si="74"/>
        <v>432,040091031901</v>
      </c>
      <c r="AG67" s="32" t="str">
        <f t="shared" si="55"/>
        <v>1+0,322176692136048i</v>
      </c>
      <c r="AH67" s="32">
        <f t="shared" si="75"/>
        <v>1.05061782821144</v>
      </c>
      <c r="AI67" s="32">
        <f t="shared" si="76"/>
        <v>0.31167619822338</v>
      </c>
      <c r="AJ67" s="32" t="str">
        <f t="shared" si="56"/>
        <v>1+0,00304456974068565i</v>
      </c>
      <c r="AK67" s="32">
        <f t="shared" si="77"/>
        <v>1.00000463469171</v>
      </c>
      <c r="AL67" s="32">
        <f t="shared" si="78"/>
        <v>0.00304456033362141</v>
      </c>
      <c r="AM67" s="32" t="str">
        <f t="shared" si="57"/>
        <v>1-0,000898827761825918i</v>
      </c>
      <c r="AN67" s="32">
        <f t="shared" si="79"/>
        <v>1.00000040394559</v>
      </c>
      <c r="AO67" s="32">
        <f t="shared" si="80"/>
        <v>-0.000898827519774312</v>
      </c>
      <c r="AP67" s="30" t="str">
        <f t="shared" si="81"/>
        <v>391,684000379989-125,264409045162i</v>
      </c>
      <c r="AQ67" s="32">
        <f t="shared" si="82"/>
        <v>52.2816294194512</v>
      </c>
      <c r="AR67" s="31">
        <f t="shared" si="83"/>
        <v>-17.7347892986864</v>
      </c>
      <c r="AS67" t="str">
        <f t="shared" si="58"/>
        <v>-0,000201496259351621</v>
      </c>
      <c r="AT67" t="str">
        <f t="shared" si="59"/>
        <v>0,0000436297717303613i</v>
      </c>
      <c r="AU67">
        <f t="shared" si="84"/>
        <v>4.36297717303613e-5</v>
      </c>
      <c r="AV67">
        <f t="shared" si="85"/>
        <v>1.5707963267949</v>
      </c>
      <c r="AW67" t="str">
        <f t="shared" si="60"/>
        <v>1+0,00223376428766485i</v>
      </c>
      <c r="AX67">
        <f t="shared" si="86"/>
        <v>1.00000249484833</v>
      </c>
      <c r="AY67">
        <f t="shared" si="87"/>
        <v>0.0022337605724026</v>
      </c>
      <c r="AZ67" t="str">
        <f t="shared" si="61"/>
        <v>1+0,106792943710275i</v>
      </c>
      <c r="BA67">
        <f t="shared" si="88"/>
        <v>1.00568619997806</v>
      </c>
      <c r="BB67">
        <f t="shared" si="89"/>
        <v>0.106389717682225</v>
      </c>
      <c r="BC67" s="30" t="str">
        <f t="shared" si="90"/>
        <v>-0,482885368751978+4,61939892653414i</v>
      </c>
      <c r="BD67" s="32">
        <f t="shared" si="91"/>
        <v>13.3389090932351</v>
      </c>
      <c r="BE67" s="31">
        <f t="shared" si="92"/>
        <v>95.9676967535384</v>
      </c>
      <c r="BF67" s="30" t="str">
        <f t="shared" si="93"/>
        <v>64,8096694884966+226,513146010053i</v>
      </c>
      <c r="BG67" s="68">
        <f t="shared" si="94"/>
        <v>47.4435948044673</v>
      </c>
      <c r="BH67" s="31">
        <f t="shared" si="95"/>
        <v>74.0331786402626</v>
      </c>
      <c r="BI67" s="30" t="str">
        <f t="shared" si="103"/>
        <v>389,507803718414+1869,83300124919i</v>
      </c>
      <c r="BJ67" s="68">
        <f t="shared" si="97"/>
        <v>65.6205385126863</v>
      </c>
      <c r="BK67" s="31">
        <f t="shared" si="104"/>
        <v>78.2329074548521</v>
      </c>
      <c r="BL67" s="32">
        <f t="shared" si="99"/>
        <v>47.4435948044673</v>
      </c>
      <c r="BM67" s="31">
        <f t="shared" si="100"/>
        <v>74.0331786402626</v>
      </c>
      <c r="BO67">
        <f t="shared" si="101"/>
        <v>0</v>
      </c>
      <c r="BP67">
        <f t="shared" si="102"/>
        <v>0</v>
      </c>
    </row>
    <row r="68" spans="1:68">
      <c r="A68" t="s">
        <v>344</v>
      </c>
      <c r="B68">
        <f>(B67*2*VOUT/DC_VIN_var_DCM)*(((VOUT/VIN_var)-1)/((2*VOUT/VIN_var)-1))</f>
        <v>432.040091031901</v>
      </c>
      <c r="C68" t="s">
        <v>244</v>
      </c>
      <c r="N68" s="7">
        <v>50</v>
      </c>
      <c r="O68" s="18">
        <f t="shared" si="62"/>
        <v>31.6227766016838</v>
      </c>
      <c r="P68" s="86" t="str">
        <f t="shared" si="50"/>
        <v>54,5454545454545</v>
      </c>
      <c r="Q68" s="4" t="str">
        <f t="shared" si="51"/>
        <v>1+0,404608685734241i</v>
      </c>
      <c r="R68" s="4">
        <f t="shared" si="63"/>
        <v>1.07875307117597</v>
      </c>
      <c r="S68" s="4">
        <f t="shared" si="64"/>
        <v>0.384473057361741</v>
      </c>
      <c r="T68" s="4" t="str">
        <f t="shared" si="52"/>
        <v>1+0,00311548688015366i</v>
      </c>
      <c r="U68" s="4">
        <f t="shared" si="65"/>
        <v>1.00000485311747</v>
      </c>
      <c r="V68" s="4">
        <f t="shared" si="66"/>
        <v>0.00311547680030536</v>
      </c>
      <c r="W68" t="str">
        <f t="shared" si="53"/>
        <v>1-0,0089411294392165i</v>
      </c>
      <c r="X68" s="4">
        <f t="shared" si="67"/>
        <v>1.00003997109898</v>
      </c>
      <c r="Y68" s="4">
        <f t="shared" si="68"/>
        <v>-0.00894089118803617</v>
      </c>
      <c r="Z68" t="str">
        <f t="shared" si="54"/>
        <v>0,999999991836735+0,000617363699374472i</v>
      </c>
      <c r="AA68" s="4">
        <f t="shared" si="69"/>
        <v>1.00000018240569</v>
      </c>
      <c r="AB68" s="4">
        <f t="shared" si="70"/>
        <v>0.000617363625980616</v>
      </c>
      <c r="AC68" s="67" t="str">
        <f t="shared" si="71"/>
        <v>46,7510354459504-19,2673125207369i</v>
      </c>
      <c r="AD68" s="68">
        <f t="shared" si="72"/>
        <v>34.0771181483549</v>
      </c>
      <c r="AE68" s="31">
        <f t="shared" si="73"/>
        <v>-22.3978275118443</v>
      </c>
      <c r="AF68" s="32" t="str">
        <f t="shared" si="74"/>
        <v>432,040091031901</v>
      </c>
      <c r="AG68" s="32" t="str">
        <f t="shared" si="55"/>
        <v>1+0,329681151339011i</v>
      </c>
      <c r="AH68" s="32">
        <f t="shared" si="75"/>
        <v>1.05294333254369</v>
      </c>
      <c r="AI68" s="32">
        <f t="shared" si="76"/>
        <v>0.318459997151076</v>
      </c>
      <c r="AJ68" s="32" t="str">
        <f t="shared" si="56"/>
        <v>1+0,00311548688015366i</v>
      </c>
      <c r="AK68" s="32">
        <f t="shared" si="77"/>
        <v>1.00000485311747</v>
      </c>
      <c r="AL68" s="32">
        <f t="shared" si="78"/>
        <v>0.00311547680030536</v>
      </c>
      <c r="AM68" s="32" t="str">
        <f t="shared" si="57"/>
        <v>1-0,000919764149943855i</v>
      </c>
      <c r="AN68" s="32">
        <f t="shared" si="79"/>
        <v>1.00000042298296</v>
      </c>
      <c r="AO68" s="32">
        <f t="shared" si="80"/>
        <v>-0.000919763890580892</v>
      </c>
      <c r="AP68" s="30" t="str">
        <f t="shared" si="81"/>
        <v>389,96853028642-127,616633802568i</v>
      </c>
      <c r="AQ68" s="32">
        <f t="shared" si="82"/>
        <v>52.2624268279432</v>
      </c>
      <c r="AR68" s="31">
        <f t="shared" si="83"/>
        <v>-18.1206086977553</v>
      </c>
      <c r="AS68" t="str">
        <f t="shared" si="58"/>
        <v>-0,000201496259351621</v>
      </c>
      <c r="AT68" t="str">
        <f t="shared" si="59"/>
        <v>0,0000446460396664877i</v>
      </c>
      <c r="AU68">
        <f t="shared" si="84"/>
        <v>4.46460396664877e-5</v>
      </c>
      <c r="AV68">
        <f t="shared" si="85"/>
        <v>1.5707963267949</v>
      </c>
      <c r="AW68" t="str">
        <f t="shared" si="60"/>
        <v>1+0,00228579534197445i</v>
      </c>
      <c r="AX68">
        <f t="shared" si="86"/>
        <v>1.00000261242676</v>
      </c>
      <c r="AY68">
        <f t="shared" si="87"/>
        <v>0.00228579136099978</v>
      </c>
      <c r="AZ68" t="str">
        <f t="shared" si="61"/>
        <v>1+0,109280470923757i</v>
      </c>
      <c r="BA68">
        <f t="shared" si="88"/>
        <v>1.00595338924093</v>
      </c>
      <c r="BB68">
        <f t="shared" si="89"/>
        <v>0.108848544432303</v>
      </c>
      <c r="BC68" s="30" t="str">
        <f t="shared" si="90"/>
        <v>-0,482885255198477+4,514298247347i</v>
      </c>
      <c r="BD68" s="32">
        <f t="shared" si="91"/>
        <v>13.1412154201355</v>
      </c>
      <c r="BE68" s="31">
        <f t="shared" si="92"/>
        <v>96.1055960042805</v>
      </c>
      <c r="BF68" s="30" t="str">
        <f t="shared" si="93"/>
        <v>64,4030094613387+220,352018498876i</v>
      </c>
      <c r="BG68" s="68">
        <f t="shared" si="94"/>
        <v>47.2183335684904</v>
      </c>
      <c r="BH68" s="31">
        <f t="shared" si="95"/>
        <v>73.7077684924361</v>
      </c>
      <c r="BI68" s="30" t="str">
        <f t="shared" si="103"/>
        <v>387,789493040524+1822,05844357379i</v>
      </c>
      <c r="BJ68" s="68">
        <f t="shared" si="97"/>
        <v>65.4036422480787</v>
      </c>
      <c r="BK68" s="31">
        <f t="shared" si="104"/>
        <v>77.9849873065252</v>
      </c>
      <c r="BL68" s="32">
        <f t="shared" si="99"/>
        <v>47.2183335684904</v>
      </c>
      <c r="BM68" s="31">
        <f t="shared" si="100"/>
        <v>73.7077684924361</v>
      </c>
      <c r="BO68">
        <f t="shared" si="101"/>
        <v>0</v>
      </c>
      <c r="BP68">
        <f t="shared" si="102"/>
        <v>0</v>
      </c>
    </row>
    <row r="69" spans="1:68">
      <c r="A69" t="s">
        <v>512</v>
      </c>
      <c r="B69">
        <f>(IOUT_VAR*((2*VOUT)-VIN_var))/(Cout*VOUT*(VOUT-VIN_var))</f>
        <v>602.678571428572</v>
      </c>
      <c r="C69" t="s">
        <v>304</v>
      </c>
      <c r="N69" s="7">
        <v>51</v>
      </c>
      <c r="O69" s="18">
        <f t="shared" si="62"/>
        <v>32.3593656929628</v>
      </c>
      <c r="P69" s="86" t="str">
        <f t="shared" si="50"/>
        <v>54,5454545454545</v>
      </c>
      <c r="Q69" s="4" t="str">
        <f t="shared" si="51"/>
        <v>1+0,414033232727774i</v>
      </c>
      <c r="R69" s="4">
        <f t="shared" si="63"/>
        <v>1.08232320394742</v>
      </c>
      <c r="S69" s="4">
        <f t="shared" si="64"/>
        <v>0.392545150905716</v>
      </c>
      <c r="T69" s="4" t="str">
        <f t="shared" si="52"/>
        <v>1+0,00318805589200387i</v>
      </c>
      <c r="U69" s="4">
        <f t="shared" si="65"/>
        <v>1.00000508183727</v>
      </c>
      <c r="V69" s="4">
        <f t="shared" si="66"/>
        <v>0.00318804509125479</v>
      </c>
      <c r="W69" t="str">
        <f t="shared" si="53"/>
        <v>1-0,00914939509822538i</v>
      </c>
      <c r="X69" s="4">
        <f t="shared" si="67"/>
        <v>1.00004185483942</v>
      </c>
      <c r="Y69" s="4">
        <f t="shared" si="68"/>
        <v>-0.00914913980806322</v>
      </c>
      <c r="Z69" t="str">
        <f t="shared" si="54"/>
        <v>0,999999991452012+0,000631743947258419i</v>
      </c>
      <c r="AA69" s="4">
        <f t="shared" si="69"/>
        <v>1.0000001910022</v>
      </c>
      <c r="AB69" s="4">
        <f t="shared" si="70"/>
        <v>0.000631743868615486</v>
      </c>
      <c r="AC69" s="67" t="str">
        <f t="shared" si="71"/>
        <v>46,4374514469788-19,586271724657i</v>
      </c>
      <c r="AD69" s="68">
        <f t="shared" si="72"/>
        <v>34.0484379366745</v>
      </c>
      <c r="AE69" s="31">
        <f t="shared" si="73"/>
        <v>-22.8689222411793</v>
      </c>
      <c r="AF69" s="32" t="str">
        <f t="shared" si="74"/>
        <v>432,040091031901</v>
      </c>
      <c r="AG69" s="32" t="str">
        <f t="shared" si="55"/>
        <v>1+0,33736041185226i</v>
      </c>
      <c r="AH69" s="32">
        <f t="shared" si="75"/>
        <v>1.05537294236925</v>
      </c>
      <c r="AI69" s="32">
        <f t="shared" si="76"/>
        <v>0.325370535847229</v>
      </c>
      <c r="AJ69" s="32" t="str">
        <f t="shared" si="56"/>
        <v>1+0,00318805589200387i</v>
      </c>
      <c r="AK69" s="32">
        <f t="shared" si="77"/>
        <v>1.00000508183727</v>
      </c>
      <c r="AL69" s="32">
        <f t="shared" si="78"/>
        <v>0.00318804509125479</v>
      </c>
      <c r="AM69" s="32" t="str">
        <f t="shared" si="57"/>
        <v>1-0,000941188209188611i</v>
      </c>
      <c r="AN69" s="32">
        <f t="shared" si="79"/>
        <v>1.00000044291752</v>
      </c>
      <c r="AO69" s="32">
        <f t="shared" si="80"/>
        <v>-0.000941187931276196</v>
      </c>
      <c r="AP69" s="30" t="str">
        <f t="shared" si="81"/>
        <v>388,188363177754-129,988649159682i</v>
      </c>
      <c r="AQ69" s="32">
        <f t="shared" si="82"/>
        <v>52.2424098545342</v>
      </c>
      <c r="AR69" s="31">
        <f t="shared" si="83"/>
        <v>-18.5136230495208</v>
      </c>
      <c r="AS69" t="str">
        <f t="shared" si="58"/>
        <v>-0,000201496259351621</v>
      </c>
      <c r="AT69" t="str">
        <f t="shared" si="59"/>
        <v>0,0000456859795238054i</v>
      </c>
      <c r="AU69">
        <f t="shared" si="84"/>
        <v>4.56859795238054e-5</v>
      </c>
      <c r="AV69">
        <f t="shared" si="85"/>
        <v>1.5707963267949</v>
      </c>
      <c r="AW69" t="str">
        <f t="shared" si="60"/>
        <v>1+0,00233903835523044i</v>
      </c>
      <c r="AX69">
        <f t="shared" si="86"/>
        <v>1.00000273554647</v>
      </c>
      <c r="AY69">
        <f t="shared" si="87"/>
        <v>0.00233903408953986</v>
      </c>
      <c r="AZ69" t="str">
        <f t="shared" si="61"/>
        <v>1+0,111825940089421i</v>
      </c>
      <c r="BA69">
        <f t="shared" si="88"/>
        <v>1.00623309470365</v>
      </c>
      <c r="BB69">
        <f t="shared" si="89"/>
        <v>0.11136327721338</v>
      </c>
      <c r="BC69" s="30" t="str">
        <f t="shared" si="90"/>
        <v>-0,482885136293422+4,41159110881992i</v>
      </c>
      <c r="BD69" s="32">
        <f t="shared" si="91"/>
        <v>12.9436291277096</v>
      </c>
      <c r="BE69" s="31">
        <f t="shared" si="92"/>
        <v>96.2466289956042</v>
      </c>
      <c r="BF69" s="30" t="str">
        <f t="shared" si="93"/>
        <v>63,9826671243343+214,320967410989i</v>
      </c>
      <c r="BG69" s="68">
        <f t="shared" si="94"/>
        <v>46.9920670643841</v>
      </c>
      <c r="BH69" s="31">
        <f t="shared" si="95"/>
        <v>73.3777067544249</v>
      </c>
      <c r="BI69" s="30" t="str">
        <f t="shared" si="103"/>
        <v>386,006378219755+1775,29791810841i</v>
      </c>
      <c r="BJ69" s="68">
        <f t="shared" si="97"/>
        <v>65.1860389822439</v>
      </c>
      <c r="BK69" s="31">
        <f t="shared" si="104"/>
        <v>77.7330059460835</v>
      </c>
      <c r="BL69" s="32">
        <f t="shared" si="99"/>
        <v>46.9920670643841</v>
      </c>
      <c r="BM69" s="31">
        <f t="shared" si="100"/>
        <v>73.3777067544249</v>
      </c>
      <c r="BO69">
        <f t="shared" si="101"/>
        <v>0</v>
      </c>
      <c r="BP69">
        <f t="shared" si="102"/>
        <v>0</v>
      </c>
    </row>
    <row r="70" spans="1:68">
      <c r="B70">
        <f>B69/(2*PI())</f>
        <v>95.9192737384191</v>
      </c>
      <c r="C70" t="s">
        <v>111</v>
      </c>
      <c r="N70" s="7">
        <v>52</v>
      </c>
      <c r="O70" s="18">
        <f t="shared" si="62"/>
        <v>33.1131121482591</v>
      </c>
      <c r="P70" s="86" t="str">
        <f t="shared" si="50"/>
        <v>54,5454545454545</v>
      </c>
      <c r="Q70" s="4" t="str">
        <f t="shared" si="51"/>
        <v>1+0,423677305621677i</v>
      </c>
      <c r="R70" s="4">
        <f t="shared" si="63"/>
        <v>1.08604901330412</v>
      </c>
      <c r="S70" s="4">
        <f t="shared" si="64"/>
        <v>0.400749780175697</v>
      </c>
      <c r="T70" s="4" t="str">
        <f t="shared" si="52"/>
        <v>1+0,00326231525328692i</v>
      </c>
      <c r="U70" s="4">
        <f t="shared" si="65"/>
        <v>1.00000532133625</v>
      </c>
      <c r="V70" s="4">
        <f t="shared" si="66"/>
        <v>0.00326230368007909</v>
      </c>
      <c r="W70" t="str">
        <f t="shared" si="53"/>
        <v>1-0,0093625118876219i</v>
      </c>
      <c r="X70" s="4">
        <f t="shared" si="67"/>
        <v>1.000043827354</v>
      </c>
      <c r="Y70" s="4">
        <f t="shared" si="68"/>
        <v>-0.00936223833993218</v>
      </c>
      <c r="Z70" t="str">
        <f t="shared" si="54"/>
        <v>0,999999991049158+0,000646459154145322i</v>
      </c>
      <c r="AA70" s="4">
        <f t="shared" si="69"/>
        <v>1.00000020000386</v>
      </c>
      <c r="AB70" s="4">
        <f t="shared" si="70"/>
        <v>0.000646459069877902</v>
      </c>
      <c r="AC70" s="67" t="str">
        <f t="shared" si="71"/>
        <v>46,1134856694508-19,9052376947255i</v>
      </c>
      <c r="AD70" s="68">
        <f t="shared" si="72"/>
        <v>34.0186079515328</v>
      </c>
      <c r="AE70" s="31">
        <f t="shared" si="73"/>
        <v>-23.3478109325101</v>
      </c>
      <c r="AF70" s="32" t="str">
        <f t="shared" si="74"/>
        <v>432,040091031901</v>
      </c>
      <c r="AG70" s="32" t="str">
        <f t="shared" si="55"/>
        <v>1+0,345218545321367i</v>
      </c>
      <c r="AH70" s="32">
        <f t="shared" si="75"/>
        <v>1.05791107567404</v>
      </c>
      <c r="AI70" s="32">
        <f t="shared" si="76"/>
        <v>0.332408837352654</v>
      </c>
      <c r="AJ70" s="32" t="str">
        <f t="shared" si="56"/>
        <v>1+0,00326231525328692i</v>
      </c>
      <c r="AK70" s="32">
        <f t="shared" si="77"/>
        <v>1.00000532133625</v>
      </c>
      <c r="AL70" s="32">
        <f t="shared" si="78"/>
        <v>0.00326230368007909</v>
      </c>
      <c r="AM70" s="32" t="str">
        <f t="shared" si="57"/>
        <v>1-0,000963111298879977i</v>
      </c>
      <c r="AN70" s="32">
        <f t="shared" si="79"/>
        <v>1.00000046379158</v>
      </c>
      <c r="AO70" s="32">
        <f t="shared" si="80"/>
        <v>-0.000963111001091467</v>
      </c>
      <c r="AP70" s="30" t="str">
        <f t="shared" si="81"/>
        <v>386,341764831027-132,378993766094i</v>
      </c>
      <c r="AQ70" s="32">
        <f t="shared" si="82"/>
        <v>52.2215479481133</v>
      </c>
      <c r="AR70" s="31">
        <f t="shared" si="83"/>
        <v>-18.9138894163643</v>
      </c>
      <c r="AS70" t="str">
        <f t="shared" si="58"/>
        <v>-0,000201496259351621</v>
      </c>
      <c r="AT70" t="str">
        <f t="shared" si="59"/>
        <v>0,0000467501426921921i</v>
      </c>
      <c r="AU70">
        <f t="shared" si="84"/>
        <v>4.67501426921921e-5</v>
      </c>
      <c r="AV70">
        <f t="shared" si="85"/>
        <v>1.5707963267949</v>
      </c>
      <c r="AW70" t="str">
        <f t="shared" si="60"/>
        <v>1+0,00239352155758321i</v>
      </c>
      <c r="AX70">
        <f t="shared" si="86"/>
        <v>1.00000286446862</v>
      </c>
      <c r="AY70">
        <f t="shared" si="87"/>
        <v>0.00239351698681411</v>
      </c>
      <c r="AZ70" t="str">
        <f t="shared" si="61"/>
        <v>1+0,114430700848712i</v>
      </c>
      <c r="BA70">
        <f t="shared" si="88"/>
        <v>1.00652589896968</v>
      </c>
      <c r="BB70">
        <f t="shared" si="89"/>
        <v>0.113935122078032</v>
      </c>
      <c r="BC70" s="30" t="str">
        <f t="shared" si="90"/>
        <v>-0,482885011784608+4,31122305426685i</v>
      </c>
      <c r="BD70" s="32">
        <f t="shared" si="91"/>
        <v>12.7461551515626</v>
      </c>
      <c r="BE70" s="31">
        <f t="shared" si="92"/>
        <v>96.3908632118417</v>
      </c>
      <c r="BF70" s="30" t="str">
        <f t="shared" si="93"/>
        <v>63,54840857924+208,417463469533i</v>
      </c>
      <c r="BG70" s="68">
        <f t="shared" si="94"/>
        <v>46.7647631030953</v>
      </c>
      <c r="BH70" s="31">
        <f t="shared" si="95"/>
        <v>73.0430522793315</v>
      </c>
      <c r="BI70" s="30" t="str">
        <f t="shared" si="103"/>
        <v>384,156722161715+1729,52935533044i</v>
      </c>
      <c r="BJ70" s="68">
        <f t="shared" si="97"/>
        <v>64.9677030996758</v>
      </c>
      <c r="BK70" s="31">
        <f t="shared" si="104"/>
        <v>77.4769737954774</v>
      </c>
      <c r="BL70" s="32">
        <f t="shared" si="99"/>
        <v>46.7647631030953</v>
      </c>
      <c r="BM70" s="31">
        <f t="shared" si="100"/>
        <v>73.0430522793315</v>
      </c>
      <c r="BO70">
        <f t="shared" si="101"/>
        <v>0</v>
      </c>
      <c r="BP70">
        <f t="shared" si="102"/>
        <v>0</v>
      </c>
    </row>
    <row r="71" spans="1:68">
      <c r="A71" t="s">
        <v>346</v>
      </c>
      <c r="B71">
        <f>1/(Cout*Resr)</f>
        <v>63775.5102040816</v>
      </c>
      <c r="C71" t="s">
        <v>304</v>
      </c>
      <c r="N71" s="7">
        <v>53</v>
      </c>
      <c r="O71" s="18">
        <f t="shared" si="62"/>
        <v>33.8844156139203</v>
      </c>
      <c r="P71" s="86" t="str">
        <f t="shared" si="50"/>
        <v>54,5454545454545</v>
      </c>
      <c r="Q71" s="4" t="str">
        <f t="shared" si="51"/>
        <v>1+0,433546017831056i</v>
      </c>
      <c r="R71" s="4">
        <f t="shared" si="63"/>
        <v>1.08993676402678</v>
      </c>
      <c r="S71" s="4">
        <f t="shared" si="64"/>
        <v>0.409086875905561</v>
      </c>
      <c r="T71" s="4" t="str">
        <f t="shared" si="52"/>
        <v>1+0,00333830433729914i</v>
      </c>
      <c r="U71" s="4">
        <f t="shared" si="65"/>
        <v>1.0000055721224</v>
      </c>
      <c r="V71" s="4">
        <f t="shared" si="66"/>
        <v>0.00333829193638726</v>
      </c>
      <c r="W71" t="str">
        <f t="shared" si="53"/>
        <v>1-0,0095805928047488i</v>
      </c>
      <c r="X71" s="4">
        <f t="shared" si="67"/>
        <v>1.00004589282617</v>
      </c>
      <c r="Y71" s="4">
        <f t="shared" si="68"/>
        <v>-0.00958029969384484</v>
      </c>
      <c r="Z71" t="str">
        <f t="shared" si="54"/>
        <v>0,999999990627317+0,000661517122232655i</v>
      </c>
      <c r="AA71" s="4">
        <f t="shared" si="69"/>
        <v>1.00000020942975</v>
      </c>
      <c r="AB71" s="4">
        <f t="shared" si="70"/>
        <v>0.000661517031938489</v>
      </c>
      <c r="AC71" s="67" t="str">
        <f t="shared" si="71"/>
        <v>45,7789746163123-20,223864352384i</v>
      </c>
      <c r="AD71" s="68">
        <f t="shared" si="72"/>
        <v>33.987590459697</v>
      </c>
      <c r="AE71" s="31">
        <f t="shared" si="73"/>
        <v>-23.834494277777</v>
      </c>
      <c r="AF71" s="32" t="str">
        <f t="shared" si="74"/>
        <v>432,040091031901</v>
      </c>
      <c r="AG71" s="32" t="str">
        <f t="shared" si="55"/>
        <v>1+0,353259718232712i</v>
      </c>
      <c r="AH71" s="32">
        <f t="shared" si="75"/>
        <v>1.06056231713457</v>
      </c>
      <c r="AI71" s="32">
        <f t="shared" si="76"/>
        <v>0.339575843267372</v>
      </c>
      <c r="AJ71" s="32" t="str">
        <f t="shared" si="56"/>
        <v>1+0,00333830433729914i</v>
      </c>
      <c r="AK71" s="32">
        <f t="shared" si="77"/>
        <v>1.0000055721224</v>
      </c>
      <c r="AL71" s="32">
        <f t="shared" si="78"/>
        <v>0.00333829193638726</v>
      </c>
      <c r="AM71" s="32" t="str">
        <f t="shared" si="57"/>
        <v>1-0,000985545042930301i</v>
      </c>
      <c r="AN71" s="32">
        <f t="shared" si="79"/>
        <v>1.0000004856494</v>
      </c>
      <c r="AO71" s="32">
        <f t="shared" si="80"/>
        <v>-0.000985544723844172</v>
      </c>
      <c r="AP71" s="30" t="str">
        <f t="shared" si="81"/>
        <v>384,427015311396-134,786092770231i</v>
      </c>
      <c r="AQ71" s="32">
        <f t="shared" si="82"/>
        <v>52.1998097526691</v>
      </c>
      <c r="AR71" s="31">
        <f t="shared" si="83"/>
        <v>-19.3214601582764</v>
      </c>
      <c r="AS71" t="str">
        <f t="shared" si="58"/>
        <v>-0,000201496259351621</v>
      </c>
      <c r="AT71" t="str">
        <f t="shared" si="59"/>
        <v>0,0000478390934050456i</v>
      </c>
      <c r="AU71">
        <f t="shared" si="84"/>
        <v>4.78390934050456e-5</v>
      </c>
      <c r="AV71">
        <f t="shared" si="85"/>
        <v>1.5707963267949</v>
      </c>
      <c r="AW71" t="str">
        <f t="shared" si="60"/>
        <v>1+0,00244927383674783i</v>
      </c>
      <c r="AX71">
        <f t="shared" si="86"/>
        <v>1.00000299946667</v>
      </c>
      <c r="AY71">
        <f t="shared" si="87"/>
        <v>0.0024492689390813</v>
      </c>
      <c r="AZ71" t="str">
        <f t="shared" si="61"/>
        <v>1+0,117096134280263i</v>
      </c>
      <c r="BA71">
        <f t="shared" si="88"/>
        <v>1.00683241140886</v>
      </c>
      <c r="BB71">
        <f t="shared" si="89"/>
        <v>0.116565306489372</v>
      </c>
      <c r="BC71" s="30" t="str">
        <f t="shared" si="90"/>
        <v>-0,482884881407944+4,2131408672148i</v>
      </c>
      <c r="BD71" s="32">
        <f t="shared" si="91"/>
        <v>12.5487986480725</v>
      </c>
      <c r="BE71" s="31">
        <f t="shared" si="92"/>
        <v>96.5383673263881</v>
      </c>
      <c r="BF71" s="30" t="str">
        <f t="shared" si="93"/>
        <v>63,1000146674624+202,639067154586i</v>
      </c>
      <c r="BG71" s="68">
        <f t="shared" si="94"/>
        <v>46.5363891077696</v>
      </c>
      <c r="BH71" s="31">
        <f t="shared" si="95"/>
        <v>72.7038730486111</v>
      </c>
      <c r="BI71" s="30" t="str">
        <f t="shared" si="103"/>
        <v>382,238802083812+1684,73133509265i</v>
      </c>
      <c r="BJ71" s="68">
        <f t="shared" si="97"/>
        <v>64.7486084007417</v>
      </c>
      <c r="BK71" s="31">
        <f t="shared" si="104"/>
        <v>77.2169071681117</v>
      </c>
      <c r="BL71" s="32">
        <f t="shared" si="99"/>
        <v>46.5363891077696</v>
      </c>
      <c r="BM71" s="31">
        <f t="shared" si="100"/>
        <v>72.7038730486111</v>
      </c>
      <c r="BO71">
        <f t="shared" si="101"/>
        <v>0</v>
      </c>
      <c r="BP71">
        <f t="shared" si="102"/>
        <v>0</v>
      </c>
    </row>
    <row r="72" spans="1:68">
      <c r="B72">
        <f>B71/(2*PI())</f>
        <v>10150.1876971872</v>
      </c>
      <c r="C72" t="s">
        <v>111</v>
      </c>
      <c r="N72" s="7">
        <v>54</v>
      </c>
      <c r="O72" s="18">
        <f t="shared" si="62"/>
        <v>34.6736850452532</v>
      </c>
      <c r="P72" s="86" t="str">
        <f t="shared" si="50"/>
        <v>54,5454545454545</v>
      </c>
      <c r="Q72" s="4" t="str">
        <f t="shared" si="51"/>
        <v>1+0,443644601877745i</v>
      </c>
      <c r="R72" s="4">
        <f t="shared" si="63"/>
        <v>1.09399293086165</v>
      </c>
      <c r="S72" s="4">
        <f t="shared" si="64"/>
        <v>0.417556221579365</v>
      </c>
      <c r="T72" s="4" t="str">
        <f t="shared" si="52"/>
        <v>1+0,00341606343445864i</v>
      </c>
      <c r="U72" s="4">
        <f t="shared" si="65"/>
        <v>1.00000583472767</v>
      </c>
      <c r="V72" s="4">
        <f t="shared" si="66"/>
        <v>0.00341605014664634</v>
      </c>
      <c r="W72" t="str">
        <f t="shared" si="53"/>
        <v>1-0,00980375347899482i</v>
      </c>
      <c r="X72" s="4">
        <f t="shared" si="67"/>
        <v>1.00004805563647</v>
      </c>
      <c r="Y72" s="4">
        <f t="shared" si="68"/>
        <v>-0.00980343940581776</v>
      </c>
      <c r="Z72" t="str">
        <f t="shared" si="54"/>
        <v>0,999999990185596+0,000676925835454404i</v>
      </c>
      <c r="AA72" s="4">
        <f t="shared" si="69"/>
        <v>1.00000021929987</v>
      </c>
      <c r="AB72" s="4">
        <f t="shared" si="70"/>
        <v>0.000676925738702463</v>
      </c>
      <c r="AC72" s="67" t="str">
        <f t="shared" si="71"/>
        <v>45,433767059671-20,5417892474937i</v>
      </c>
      <c r="AD72" s="68">
        <f t="shared" si="72"/>
        <v>33.955347161425</v>
      </c>
      <c r="AE72" s="31">
        <f t="shared" si="73"/>
        <v>-24.3289646404561</v>
      </c>
      <c r="AF72" s="32" t="str">
        <f t="shared" si="74"/>
        <v>432,040091031901</v>
      </c>
      <c r="AG72" s="32" t="str">
        <f t="shared" si="55"/>
        <v>1+0,361488194122607i</v>
      </c>
      <c r="AH72" s="32">
        <f t="shared" si="75"/>
        <v>1.06333142269474</v>
      </c>
      <c r="AI72" s="32">
        <f t="shared" si="76"/>
        <v>0.346872407575785</v>
      </c>
      <c r="AJ72" s="32" t="str">
        <f t="shared" si="56"/>
        <v>1+0,00341606343445864i</v>
      </c>
      <c r="AK72" s="32">
        <f t="shared" si="77"/>
        <v>1.00000583472767</v>
      </c>
      <c r="AL72" s="32">
        <f t="shared" si="78"/>
        <v>0.00341605014664634</v>
      </c>
      <c r="AM72" s="32" t="str">
        <f t="shared" si="57"/>
        <v>1-0,00100850133600761i</v>
      </c>
      <c r="AN72" s="32">
        <f t="shared" si="79"/>
        <v>1.00000050853734</v>
      </c>
      <c r="AO72" s="32">
        <f t="shared" si="80"/>
        <v>-0.00100850099410067</v>
      </c>
      <c r="AP72" s="30" t="str">
        <f t="shared" si="81"/>
        <v>382,442415246685-137,208254695233i</v>
      </c>
      <c r="AQ72" s="32">
        <f t="shared" si="82"/>
        <v>52.1771631154037</v>
      </c>
      <c r="AR72" s="31">
        <f t="shared" si="83"/>
        <v>-19.7363825782231</v>
      </c>
      <c r="AS72" t="str">
        <f t="shared" si="58"/>
        <v>-0,000201496259351621</v>
      </c>
      <c r="AT72" t="str">
        <f t="shared" si="59"/>
        <v>0,0000489534090384476i</v>
      </c>
      <c r="AU72">
        <f t="shared" si="84"/>
        <v>4.89534090384476e-5</v>
      </c>
      <c r="AV72">
        <f t="shared" si="85"/>
        <v>1.5707963267949</v>
      </c>
      <c r="AW72" t="str">
        <f t="shared" si="60"/>
        <v>1+0,00250632475332064i</v>
      </c>
      <c r="AX72">
        <f t="shared" si="86"/>
        <v>1.00000314082695</v>
      </c>
      <c r="AY72">
        <f t="shared" si="87"/>
        <v>0.00250631950537729</v>
      </c>
      <c r="AZ72" t="str">
        <f t="shared" si="61"/>
        <v>1+0,119823653632159i</v>
      </c>
      <c r="BA72">
        <f t="shared" si="88"/>
        <v>1.00715326935366</v>
      </c>
      <c r="BB72">
        <f t="shared" si="89"/>
        <v>0.119255079365212</v>
      </c>
      <c r="BC72" s="30" t="str">
        <f t="shared" si="90"/>
        <v>-0,48288474488689+4,11729254318799i</v>
      </c>
      <c r="BD72" s="32">
        <f t="shared" si="91"/>
        <v>12.3515650036887</v>
      </c>
      <c r="BE72" s="31">
        <f t="shared" si="92"/>
        <v>96.6892112033549</v>
      </c>
      <c r="BF72" s="30" t="str">
        <f t="shared" si="93"/>
        <v>62,6372826765854+196,98342698402i</v>
      </c>
      <c r="BG72" s="68">
        <f t="shared" si="94"/>
        <v>46.3069121651137</v>
      </c>
      <c r="BH72" s="31">
        <f t="shared" si="95"/>
        <v>72.3602465628987</v>
      </c>
      <c r="BI72" s="30" t="str">
        <f t="shared" si="103"/>
        <v>380,2509158002+1640,88307755886i</v>
      </c>
      <c r="BJ72" s="68">
        <f t="shared" si="97"/>
        <v>64.5287281190925</v>
      </c>
      <c r="BK72" s="31">
        <f t="shared" si="104"/>
        <v>76.9528286251317</v>
      </c>
      <c r="BL72" s="32">
        <f t="shared" si="99"/>
        <v>46.3069121651137</v>
      </c>
      <c r="BM72" s="31">
        <f t="shared" si="100"/>
        <v>72.3602465628987</v>
      </c>
      <c r="BO72">
        <f t="shared" si="101"/>
        <v>0</v>
      </c>
      <c r="BP72">
        <f t="shared" si="102"/>
        <v>0</v>
      </c>
    </row>
    <row r="73" spans="1:68">
      <c r="A73" t="s">
        <v>347</v>
      </c>
      <c r="B73">
        <f>2*Fsw/(DC_VIN_var_DCM)</f>
        <v>216024.689946929</v>
      </c>
      <c r="C73" t="s">
        <v>304</v>
      </c>
      <c r="N73" s="7">
        <v>55</v>
      </c>
      <c r="O73" s="18">
        <f t="shared" si="62"/>
        <v>35.4813389233576</v>
      </c>
      <c r="P73" s="86" t="str">
        <f t="shared" si="50"/>
        <v>54,5454545454545</v>
      </c>
      <c r="Q73" s="4" t="str">
        <f t="shared" si="51"/>
        <v>1+0,453978412164683i</v>
      </c>
      <c r="R73" s="4">
        <f t="shared" si="63"/>
        <v>1.09822420238837</v>
      </c>
      <c r="S73" s="4">
        <f t="shared" si="64"/>
        <v>0.426157446671297</v>
      </c>
      <c r="T73" s="4" t="str">
        <f t="shared" si="52"/>
        <v>1+0,00349563377366807i</v>
      </c>
      <c r="U73" s="4">
        <f t="shared" si="65"/>
        <v>1.00000610970908</v>
      </c>
      <c r="V73" s="4">
        <f t="shared" si="66"/>
        <v>0.00349561953552537</v>
      </c>
      <c r="W73" t="str">
        <f t="shared" si="53"/>
        <v>1-0,0100321122331035i</v>
      </c>
      <c r="X73" s="4">
        <f t="shared" si="67"/>
        <v>1.00005032037186</v>
      </c>
      <c r="Y73" s="4">
        <f t="shared" si="68"/>
        <v>-0.0100317756985456</v>
      </c>
      <c r="Z73" t="str">
        <f t="shared" si="54"/>
        <v>0,999999989723058+0,000692693463714289i</v>
      </c>
      <c r="AA73" s="4">
        <f t="shared" si="69"/>
        <v>1.00000022963515</v>
      </c>
      <c r="AB73" s="4">
        <f t="shared" si="70"/>
        <v>0.000692693360042718</v>
      </c>
      <c r="AC73" s="67" t="str">
        <f t="shared" si="71"/>
        <v>45,0777253491659-20,8586337867884i</v>
      </c>
      <c r="AD73" s="68">
        <f t="shared" si="72"/>
        <v>33.921839237195</v>
      </c>
      <c r="AE73" s="31">
        <f t="shared" si="73"/>
        <v>-24.8312056707434</v>
      </c>
      <c r="AF73" s="32" t="str">
        <f t="shared" si="74"/>
        <v>432,040091031901</v>
      </c>
      <c r="AG73" s="32" t="str">
        <f t="shared" si="55"/>
        <v>1+0,36990833583789i</v>
      </c>
      <c r="AH73" s="32">
        <f t="shared" si="75"/>
        <v>1.06622332413166</v>
      </c>
      <c r="AI73" s="32">
        <f t="shared" si="76"/>
        <v>0.35429929031132</v>
      </c>
      <c r="AJ73" s="32" t="str">
        <f t="shared" si="56"/>
        <v>1+0,00349563377366807i</v>
      </c>
      <c r="AK73" s="32">
        <f t="shared" si="77"/>
        <v>1.00000610970908</v>
      </c>
      <c r="AL73" s="32">
        <f t="shared" si="78"/>
        <v>0.00349561953552537</v>
      </c>
      <c r="AM73" s="32" t="str">
        <f t="shared" si="57"/>
        <v>1-0,00103199234984237i</v>
      </c>
      <c r="AN73" s="32">
        <f t="shared" si="79"/>
        <v>1.00000053250396</v>
      </c>
      <c r="AO73" s="32">
        <f t="shared" si="80"/>
        <v>-0.0010319919834825</v>
      </c>
      <c r="AP73" s="30" t="str">
        <f t="shared" si="81"/>
        <v>380,386292545456-139,643668586015i</v>
      </c>
      <c r="AQ73" s="32">
        <f t="shared" si="82"/>
        <v>52.1535750978745</v>
      </c>
      <c r="AR73" s="31">
        <f t="shared" si="83"/>
        <v>-20.1586985582947</v>
      </c>
      <c r="AS73" t="str">
        <f t="shared" si="58"/>
        <v>-0,000201496259351621</v>
      </c>
      <c r="AT73" t="str">
        <f t="shared" si="59"/>
        <v>0,0000500936804172967i</v>
      </c>
      <c r="AU73">
        <f t="shared" si="84"/>
        <v>5.00936804172967e-5</v>
      </c>
      <c r="AV73">
        <f t="shared" si="85"/>
        <v>1.5707963267949</v>
      </c>
      <c r="AW73" t="str">
        <f t="shared" si="60"/>
        <v>1+0,00256470455645281i</v>
      </c>
      <c r="AX73">
        <f t="shared" si="86"/>
        <v>1.00000328884932</v>
      </c>
      <c r="AY73">
        <f t="shared" si="87"/>
        <v>0.00256469893318119</v>
      </c>
      <c r="AZ73" t="str">
        <f t="shared" si="61"/>
        <v>1+0,122614705071265i</v>
      </c>
      <c r="BA73">
        <f t="shared" si="88"/>
        <v>1.00748913934579</v>
      </c>
      <c r="BB73">
        <f t="shared" si="89"/>
        <v>0.1220057110935</v>
      </c>
      <c r="BC73" s="30" t="str">
        <f t="shared" si="90"/>
        <v>-0,482884601931885+4,02362726213411i</v>
      </c>
      <c r="BD73" s="32">
        <f t="shared" si="91"/>
        <v>12.1544598445638</v>
      </c>
      <c r="BE73" s="31">
        <f t="shared" si="92"/>
        <v>96.843465897557</v>
      </c>
      <c r="BF73" s="30" t="str">
        <f t="shared" si="93"/>
        <v>62,1600280941666+191,448277702874i</v>
      </c>
      <c r="BG73" s="68">
        <f t="shared" si="94"/>
        <v>46.0762990817588</v>
      </c>
      <c r="BH73" s="31">
        <f t="shared" si="95"/>
        <v>72.0122602268136</v>
      </c>
      <c r="BI73" s="30" t="str">
        <f t="shared" si="103"/>
        <v>378,191388450952+1597,96443414548i</v>
      </c>
      <c r="BJ73" s="68">
        <f t="shared" si="97"/>
        <v>64.3080349424383</v>
      </c>
      <c r="BK73" s="31">
        <f t="shared" si="104"/>
        <v>76.6847673392623</v>
      </c>
      <c r="BL73" s="32">
        <f t="shared" si="99"/>
        <v>46.0762990817588</v>
      </c>
      <c r="BM73" s="31">
        <f t="shared" si="100"/>
        <v>72.0122602268136</v>
      </c>
      <c r="BO73">
        <f t="shared" si="101"/>
        <v>0</v>
      </c>
      <c r="BP73">
        <f t="shared" si="102"/>
        <v>0</v>
      </c>
    </row>
    <row r="74" spans="1:68">
      <c r="B74">
        <f>B73/(2*PI())</f>
        <v>34381.3972349478</v>
      </c>
      <c r="C74" t="s">
        <v>111</v>
      </c>
      <c r="N74" s="7">
        <v>56</v>
      </c>
      <c r="O74" s="18">
        <f t="shared" si="62"/>
        <v>36.3078054770102</v>
      </c>
      <c r="P74" s="86" t="str">
        <f t="shared" si="50"/>
        <v>54,5454545454545</v>
      </c>
      <c r="Q74" s="4" t="str">
        <f t="shared" si="51"/>
        <v>1+0,464552927814864i</v>
      </c>
      <c r="R74" s="4">
        <f t="shared" si="63"/>
        <v>1.10263748473438</v>
      </c>
      <c r="S74" s="4">
        <f t="shared" si="64"/>
        <v>0.434890020001292</v>
      </c>
      <c r="T74" s="4" t="str">
        <f t="shared" si="52"/>
        <v>1+0,00357705754417445i</v>
      </c>
      <c r="U74" s="4">
        <f t="shared" si="65"/>
        <v>1.00000639764987</v>
      </c>
      <c r="V74" s="4">
        <f t="shared" si="66"/>
        <v>0.00357704228773495</v>
      </c>
      <c r="W74" t="str">
        <f t="shared" si="53"/>
        <v>1-0,0102657901459088i</v>
      </c>
      <c r="X74" s="4">
        <f t="shared" si="67"/>
        <v>1.00005269183545</v>
      </c>
      <c r="Y74" s="4">
        <f t="shared" si="68"/>
        <v>-0.0102654295436593</v>
      </c>
      <c r="Z74" t="str">
        <f t="shared" si="54"/>
        <v>0,99999998923872+0,000708828367217514i</v>
      </c>
      <c r="AA74" s="4">
        <f t="shared" si="69"/>
        <v>1.00000024045752</v>
      </c>
      <c r="AB74" s="4">
        <f t="shared" si="70"/>
        <v>0.000708828256131426</v>
      </c>
      <c r="AC74" s="67" t="str">
        <f t="shared" si="71"/>
        <v>44,7107267492227-21,1740035634532i</v>
      </c>
      <c r="AD74" s="68">
        <f t="shared" si="72"/>
        <v>33.8870273992173</v>
      </c>
      <c r="AE74" s="31">
        <f t="shared" si="73"/>
        <v>-25.3411919274234</v>
      </c>
      <c r="AF74" s="32" t="str">
        <f t="shared" si="74"/>
        <v>432,040091031901</v>
      </c>
      <c r="AG74" s="32" t="str">
        <f t="shared" si="55"/>
        <v>1+0,378524607849148i</v>
      </c>
      <c r="AH74" s="32">
        <f t="shared" si="75"/>
        <v>1.06924313359841</v>
      </c>
      <c r="AI74" s="32">
        <f t="shared" si="76"/>
        <v>0.361857151076254</v>
      </c>
      <c r="AJ74" s="32" t="str">
        <f t="shared" si="56"/>
        <v>1+0,00357705754417445i</v>
      </c>
      <c r="AK74" s="32">
        <f t="shared" si="77"/>
        <v>1.00000639764987</v>
      </c>
      <c r="AL74" s="32">
        <f t="shared" si="78"/>
        <v>0.00357704228773495</v>
      </c>
      <c r="AM74" s="32" t="str">
        <f t="shared" si="57"/>
        <v>1-0,00105603053968104i</v>
      </c>
      <c r="AN74" s="32">
        <f t="shared" si="79"/>
        <v>1.00000055760009</v>
      </c>
      <c r="AO74" s="32">
        <f t="shared" si="80"/>
        <v>-0.00105603014711937</v>
      </c>
      <c r="AP74" s="30" t="str">
        <f t="shared" si="81"/>
        <v>378,257009558893-142,090401472956i</v>
      </c>
      <c r="AQ74" s="32">
        <f t="shared" si="82"/>
        <v>52.1290119903706</v>
      </c>
      <c r="AR74" s="31">
        <f t="shared" si="83"/>
        <v>-20.5884441875386</v>
      </c>
      <c r="AS74" t="str">
        <f t="shared" si="58"/>
        <v>-0,000201496259351621</v>
      </c>
      <c r="AT74" t="str">
        <f t="shared" si="59"/>
        <v>0,0000512605121285714i</v>
      </c>
      <c r="AU74">
        <f t="shared" si="84"/>
        <v>5.12605121285714e-5</v>
      </c>
      <c r="AV74">
        <f t="shared" si="85"/>
        <v>1.5707963267949</v>
      </c>
      <c r="AW74" t="str">
        <f t="shared" si="60"/>
        <v>1+0,00262444419988867i</v>
      </c>
      <c r="AX74">
        <f t="shared" si="86"/>
        <v>1.00000344384775</v>
      </c>
      <c r="AY74">
        <f t="shared" si="87"/>
        <v>0.0026244381744457</v>
      </c>
      <c r="AZ74" t="str">
        <f t="shared" si="61"/>
        <v>1+0,125470768449997i</v>
      </c>
      <c r="BA74">
        <f t="shared" si="88"/>
        <v>1.00784071843493</v>
      </c>
      <c r="BB74">
        <f t="shared" si="89"/>
        <v>0.124818493516557</v>
      </c>
      <c r="BC74" s="30" t="str">
        <f t="shared" si="90"/>
        <v>-0,482884452239703+3,93209536147904i</v>
      </c>
      <c r="BD74" s="32">
        <f t="shared" si="91"/>
        <v>11.9574890465305</v>
      </c>
      <c r="BE74" s="31">
        <f t="shared" si="92"/>
        <v>97.001203652691</v>
      </c>
      <c r="BF74" s="30" t="str">
        <f t="shared" si="93"/>
        <v>61,6680864002576+186,031438371435i</v>
      </c>
      <c r="BG74" s="68">
        <f t="shared" si="94"/>
        <v>45.8445164457478</v>
      </c>
      <c r="BH74" s="31">
        <f t="shared" si="95"/>
        <v>71.6600117252676</v>
      </c>
      <c r="BI74" s="30" t="str">
        <f t="shared" si="103"/>
        <v>376,058579675831+1555,95587841724i</v>
      </c>
      <c r="BJ74" s="68">
        <f t="shared" si="97"/>
        <v>64.086501036901</v>
      </c>
      <c r="BK74" s="31">
        <f t="shared" si="104"/>
        <v>76.4127594651523</v>
      </c>
      <c r="BL74" s="32">
        <f t="shared" si="99"/>
        <v>45.8445164457478</v>
      </c>
      <c r="BM74" s="31">
        <f t="shared" si="100"/>
        <v>71.6600117252676</v>
      </c>
      <c r="BO74">
        <f t="shared" si="101"/>
        <v>0</v>
      </c>
      <c r="BP74">
        <f t="shared" si="102"/>
        <v>0</v>
      </c>
    </row>
    <row r="75" spans="1:68">
      <c r="N75" s="7">
        <v>57</v>
      </c>
      <c r="O75" s="18">
        <f t="shared" si="62"/>
        <v>37.1535229097173</v>
      </c>
      <c r="P75" s="86" t="str">
        <f t="shared" si="50"/>
        <v>54,5454545454545</v>
      </c>
      <c r="Q75" s="4" t="str">
        <f t="shared" si="51"/>
        <v>1+0,475373755576457i</v>
      </c>
      <c r="R75" s="4">
        <f t="shared" si="63"/>
        <v>1.10723990512032</v>
      </c>
      <c r="S75" s="4">
        <f t="shared" si="64"/>
        <v>0.443753243249785</v>
      </c>
      <c r="T75" s="4" t="str">
        <f t="shared" si="52"/>
        <v>1+0,00366037791793872i</v>
      </c>
      <c r="U75" s="4">
        <f t="shared" si="65"/>
        <v>1.00000669916081</v>
      </c>
      <c r="V75" s="4">
        <f t="shared" si="66"/>
        <v>0.00366036157037518</v>
      </c>
      <c r="W75" t="str">
        <f t="shared" si="53"/>
        <v>1-0,0105049111165333i</v>
      </c>
      <c r="X75" s="4">
        <f t="shared" si="67"/>
        <v>1.00005517505664</v>
      </c>
      <c r="Y75" s="4">
        <f t="shared" si="68"/>
        <v>-0.0105045247254128</v>
      </c>
      <c r="Z75" t="str">
        <f t="shared" si="54"/>
        <v>0,999999988731557+0,000725339100903491i</v>
      </c>
      <c r="AA75" s="4">
        <f t="shared" si="69"/>
        <v>1.00000025178993</v>
      </c>
      <c r="AB75" s="4">
        <f t="shared" si="70"/>
        <v>0.000725338981872604</v>
      </c>
      <c r="AC75" s="67" t="str">
        <f t="shared" si="71"/>
        <v>44,3326647978696-21,4874887942766i</v>
      </c>
      <c r="AD75" s="68">
        <f t="shared" si="72"/>
        <v>33.8508719478174</v>
      </c>
      <c r="AE75" s="31">
        <f t="shared" si="73"/>
        <v>-25.858888508915</v>
      </c>
      <c r="AF75" s="32" t="str">
        <f t="shared" si="74"/>
        <v>432,040091031901</v>
      </c>
      <c r="AG75" s="32" t="str">
        <f t="shared" si="55"/>
        <v>1+0,387341578617854i</v>
      </c>
      <c r="AH75" s="32">
        <f t="shared" si="75"/>
        <v>1.07239614813098</v>
      </c>
      <c r="AI75" s="32">
        <f t="shared" si="76"/>
        <v>0.369546542435051</v>
      </c>
      <c r="AJ75" s="32" t="str">
        <f t="shared" si="56"/>
        <v>1+0,00366037791793872i</v>
      </c>
      <c r="AK75" s="32">
        <f t="shared" si="77"/>
        <v>1.00000669916081</v>
      </c>
      <c r="AL75" s="32">
        <f t="shared" si="78"/>
        <v>0.00366036157037518</v>
      </c>
      <c r="AM75" s="32" t="str">
        <f t="shared" si="57"/>
        <v>1-0,00108062865089007i</v>
      </c>
      <c r="AN75" s="32">
        <f t="shared" si="79"/>
        <v>1.00000058387897</v>
      </c>
      <c r="AO75" s="32">
        <f t="shared" si="80"/>
        <v>-0.00108062823025268</v>
      </c>
      <c r="AP75" s="30" t="str">
        <f t="shared" si="81"/>
        <v>376,05297068283-144,546396200046i</v>
      </c>
      <c r="AQ75" s="32">
        <f t="shared" si="82"/>
        <v>52.1034393297305</v>
      </c>
      <c r="AR75" s="31">
        <f t="shared" si="83"/>
        <v>-21.0256493825224</v>
      </c>
      <c r="AS75" t="str">
        <f t="shared" si="58"/>
        <v>-0,000201496259351621</v>
      </c>
      <c r="AT75" t="str">
        <f t="shared" si="59"/>
        <v>0,0000524545228418897i</v>
      </c>
      <c r="AU75">
        <f t="shared" si="84"/>
        <v>5.24545228418897e-5</v>
      </c>
      <c r="AV75">
        <f t="shared" si="85"/>
        <v>1.5707963267949</v>
      </c>
      <c r="AW75" t="str">
        <f t="shared" si="60"/>
        <v>1+0,00268557535837795i</v>
      </c>
      <c r="AX75">
        <f t="shared" si="86"/>
        <v>1.000003606151</v>
      </c>
      <c r="AY75">
        <f t="shared" si="87"/>
        <v>0.00268556890200074</v>
      </c>
      <c r="AZ75" t="str">
        <f t="shared" si="61"/>
        <v>1+0,128393358090963i</v>
      </c>
      <c r="BA75">
        <f t="shared" si="88"/>
        <v>1.00820873553142</v>
      </c>
      <c r="BB75">
        <f t="shared" si="89"/>
        <v>0.127694739881487</v>
      </c>
      <c r="BC75" s="30" t="str">
        <f t="shared" si="90"/>
        <v>-0,48288429549285+3,84264830979504i</v>
      </c>
      <c r="BD75" s="32">
        <f t="shared" si="91"/>
        <v>11.7606587454269</v>
      </c>
      <c r="BE75" s="31">
        <f t="shared" si="92"/>
        <v>97.1624978975539</v>
      </c>
      <c r="BF75" s="30" t="str">
        <f t="shared" si="93"/>
        <v>61,1613148888269+180,730810342578i</v>
      </c>
      <c r="BG75" s="68">
        <f t="shared" si="94"/>
        <v>45.6115306932442</v>
      </c>
      <c r="BH75" s="31">
        <f t="shared" si="95"/>
        <v>71.3036093886388</v>
      </c>
      <c r="BI75" s="30" t="str">
        <f t="shared" si="103"/>
        <v>373,850891228899+1514,83849688287i</v>
      </c>
      <c r="BJ75" s="68">
        <f t="shared" si="97"/>
        <v>63.8640980751573</v>
      </c>
      <c r="BK75" s="31">
        <f t="shared" si="104"/>
        <v>76.1368485150315</v>
      </c>
      <c r="BL75" s="32">
        <f t="shared" si="99"/>
        <v>45.6115306932442</v>
      </c>
      <c r="BM75" s="31">
        <f t="shared" si="100"/>
        <v>71.3036093886388</v>
      </c>
      <c r="BO75">
        <f t="shared" si="101"/>
        <v>0</v>
      </c>
      <c r="BP75">
        <f t="shared" si="102"/>
        <v>0</v>
      </c>
    </row>
    <row r="76" spans="1:68">
      <c r="N76" s="7">
        <v>58</v>
      </c>
      <c r="O76" s="18">
        <f t="shared" si="62"/>
        <v>38.0189396320561</v>
      </c>
      <c r="P76" s="86" t="str">
        <f t="shared" si="50"/>
        <v>54,5454545454545</v>
      </c>
      <c r="Q76" s="4" t="str">
        <f t="shared" si="51"/>
        <v>1+0,486446632795572i</v>
      </c>
      <c r="R76" s="4">
        <f t="shared" si="63"/>
        <v>1.11203881522101</v>
      </c>
      <c r="S76" s="4">
        <f t="shared" si="64"/>
        <v>0.452746244677503</v>
      </c>
      <c r="T76" s="4" t="str">
        <f t="shared" si="52"/>
        <v>1+0,00374563907252591i</v>
      </c>
      <c r="U76" s="4">
        <f t="shared" si="65"/>
        <v>1.00000701488143</v>
      </c>
      <c r="V76" s="4">
        <f t="shared" si="66"/>
        <v>0.00374562155580262</v>
      </c>
      <c r="W76" t="str">
        <f t="shared" si="53"/>
        <v>1-0,0107496019300807i</v>
      </c>
      <c r="X76" s="4">
        <f t="shared" si="67"/>
        <v>1.00005777530183</v>
      </c>
      <c r="Y76" s="4">
        <f t="shared" si="68"/>
        <v>-0.0107491879058275</v>
      </c>
      <c r="Z76" t="str">
        <f t="shared" si="54"/>
        <v>0,999999988200492+0,000742234418981765i</v>
      </c>
      <c r="AA76" s="4">
        <f t="shared" si="69"/>
        <v>1.00000026365642</v>
      </c>
      <c r="AB76" s="4">
        <f t="shared" si="70"/>
        <v>0.000742234291437874</v>
      </c>
      <c r="AC76" s="67" t="str">
        <f t="shared" si="71"/>
        <v>43,9434506788443-21,7986648703948i</v>
      </c>
      <c r="AD76" s="68">
        <f t="shared" si="72"/>
        <v>33.8133328327571</v>
      </c>
      <c r="AE76" s="31">
        <f t="shared" si="73"/>
        <v>-26.3842506961238</v>
      </c>
      <c r="AF76" s="32" t="str">
        <f t="shared" si="74"/>
        <v>432,040091031901</v>
      </c>
      <c r="AG76" s="32" t="str">
        <f t="shared" si="55"/>
        <v>1+0,396363923018614i</v>
      </c>
      <c r="AH76" s="32">
        <f t="shared" si="75"/>
        <v>1.07568785410578</v>
      </c>
      <c r="AI76" s="32">
        <f t="shared" si="76"/>
        <v>0.37736790320202</v>
      </c>
      <c r="AJ76" s="32" t="str">
        <f t="shared" si="56"/>
        <v>1+0,00374563907252591i</v>
      </c>
      <c r="AK76" s="32">
        <f t="shared" si="77"/>
        <v>1.00000701488143</v>
      </c>
      <c r="AL76" s="32">
        <f t="shared" si="78"/>
        <v>0.00374562155580262</v>
      </c>
      <c r="AM76" s="32" t="str">
        <f t="shared" si="57"/>
        <v>1-0,00110579972571362i</v>
      </c>
      <c r="AN76" s="32">
        <f t="shared" si="79"/>
        <v>1.00000061139633</v>
      </c>
      <c r="AO76" s="32">
        <f t="shared" si="80"/>
        <v>-0.00110579927499255</v>
      </c>
      <c r="AP76" s="30" t="str">
        <f t="shared" si="81"/>
        <v>373,772630391995-147,009469667451i</v>
      </c>
      <c r="AQ76" s="32">
        <f t="shared" si="82"/>
        <v>52.0768219208044</v>
      </c>
      <c r="AR76" s="31">
        <f t="shared" si="83"/>
        <v>-21.4703375018221</v>
      </c>
      <c r="AS76" t="str">
        <f t="shared" si="58"/>
        <v>-0,000201496259351621</v>
      </c>
      <c r="AT76" t="str">
        <f t="shared" si="59"/>
        <v>0,0000536763456375364i</v>
      </c>
      <c r="AU76">
        <f t="shared" si="84"/>
        <v>5.36763456375364e-5</v>
      </c>
      <c r="AV76">
        <f t="shared" si="85"/>
        <v>1.5707963267949</v>
      </c>
      <c r="AW76" t="str">
        <f t="shared" si="60"/>
        <v>1+0,00274813044447003i</v>
      </c>
      <c r="AX76">
        <f t="shared" si="86"/>
        <v>1.00000377610334</v>
      </c>
      <c r="AY76">
        <f t="shared" si="87"/>
        <v>0.00274812352633862</v>
      </c>
      <c r="AZ76" t="str">
        <f t="shared" si="61"/>
        <v>1+0,131384023589875i</v>
      </c>
      <c r="BA76">
        <f t="shared" si="88"/>
        <v>1.00859395281484</v>
      </c>
      <c r="BB76">
        <f t="shared" si="89"/>
        <v>0.130635784753975</v>
      </c>
      <c r="BC76" s="30" t="str">
        <f t="shared" si="90"/>
        <v>-0,482884131358849+3,75523868106867i</v>
      </c>
      <c r="BD76" s="32">
        <f t="shared" si="91"/>
        <v>11.5639753477764</v>
      </c>
      <c r="BE76" s="31">
        <f t="shared" si="92"/>
        <v>97.3274232401424</v>
      </c>
      <c r="BF76" s="30" t="str">
        <f t="shared" si="93"/>
        <v>60,6395945069952+175,544375119553i</v>
      </c>
      <c r="BG76" s="68">
        <f t="shared" si="94"/>
        <v>45.3773081805335</v>
      </c>
      <c r="BH76" s="31">
        <f t="shared" si="95"/>
        <v>70.9431725440187</v>
      </c>
      <c r="BI76" s="30" t="str">
        <f t="shared" si="103"/>
        <v>371,566775026053+1474,59397963469i</v>
      </c>
      <c r="BJ76" s="68">
        <f t="shared" si="97"/>
        <v>63.6407972685808</v>
      </c>
      <c r="BK76" s="31">
        <f t="shared" si="104"/>
        <v>75.8570857383203</v>
      </c>
      <c r="BL76" s="32">
        <f t="shared" si="99"/>
        <v>45.3773081805335</v>
      </c>
      <c r="BM76" s="31">
        <f t="shared" si="100"/>
        <v>70.9431725440187</v>
      </c>
      <c r="BO76">
        <f t="shared" si="101"/>
        <v>0</v>
      </c>
      <c r="BP76">
        <f t="shared" si="102"/>
        <v>0</v>
      </c>
    </row>
    <row r="77" spans="1:68">
      <c r="A77" s="30" t="str">
        <f>"Crossover Frequency = "&amp;B77</f>
        <v>Crossover Frequency = 2,7 kHz</v>
      </c>
      <c r="B77" s="32" t="str">
        <f>ROUND(D77,1)&amp;" kHz"</f>
        <v>2,7 kHz</v>
      </c>
      <c r="C77" s="91"/>
      <c r="D77" s="92">
        <f>BP12</f>
        <v>2.69153480392692</v>
      </c>
      <c r="N77" s="7">
        <v>59</v>
      </c>
      <c r="O77" s="18">
        <f t="shared" si="62"/>
        <v>38.9045144994281</v>
      </c>
      <c r="P77" s="86" t="str">
        <f t="shared" si="50"/>
        <v>54,5454545454545</v>
      </c>
      <c r="Q77" s="4" t="str">
        <f t="shared" si="51"/>
        <v>1+0,497777430458278i</v>
      </c>
      <c r="R77" s="4">
        <f t="shared" si="63"/>
        <v>1.11704179432716</v>
      </c>
      <c r="S77" s="4">
        <f t="shared" si="64"/>
        <v>0.461867973098704</v>
      </c>
      <c r="T77" s="4" t="str">
        <f t="shared" si="52"/>
        <v>1+0,00383288621452875i</v>
      </c>
      <c r="U77" s="4">
        <f t="shared" si="65"/>
        <v>1.00000734548139</v>
      </c>
      <c r="V77" s="4">
        <f t="shared" si="66"/>
        <v>0.00383286744502902</v>
      </c>
      <c r="W77" t="str">
        <f t="shared" si="53"/>
        <v>1-0,0109999923248593i</v>
      </c>
      <c r="X77" s="4">
        <f t="shared" si="67"/>
        <v>1.00006049808556</v>
      </c>
      <c r="Y77" s="4">
        <f t="shared" si="68"/>
        <v>-0.0109995486913286</v>
      </c>
      <c r="Z77" t="str">
        <f t="shared" si="54"/>
        <v>0,999999987644398+0,000759523279573618i</v>
      </c>
      <c r="AA77" s="4">
        <f t="shared" si="69"/>
        <v>1.00000027608217</v>
      </c>
      <c r="AB77" s="4">
        <f t="shared" si="70"/>
        <v>0.000759523142907878</v>
      </c>
      <c r="AC77" s="67" t="str">
        <f t="shared" si="71"/>
        <v>43,5430145977673-22,1070930271024i</v>
      </c>
      <c r="AD77" s="68">
        <f t="shared" si="72"/>
        <v>33.7743697195222</v>
      </c>
      <c r="AE77" s="31">
        <f t="shared" si="73"/>
        <v>-26.9172236098772</v>
      </c>
      <c r="AF77" s="32" t="str">
        <f t="shared" si="74"/>
        <v>432,040091031901</v>
      </c>
      <c r="AG77" s="32" t="str">
        <f t="shared" si="55"/>
        <v>1+0,405596424817857i</v>
      </c>
      <c r="AH77" s="32">
        <f t="shared" si="75"/>
        <v>1.07912393163391</v>
      </c>
      <c r="AI77" s="32">
        <f t="shared" si="76"/>
        <v>0.385321551646983</v>
      </c>
      <c r="AJ77" s="32" t="str">
        <f t="shared" si="56"/>
        <v>1+0,00383288621452875i</v>
      </c>
      <c r="AK77" s="32">
        <f t="shared" si="77"/>
        <v>1.00000734548139</v>
      </c>
      <c r="AL77" s="32">
        <f t="shared" si="78"/>
        <v>0.00383286744502902</v>
      </c>
      <c r="AM77" s="32" t="str">
        <f t="shared" si="57"/>
        <v>1-0,00113155711018872i</v>
      </c>
      <c r="AN77" s="32">
        <f t="shared" si="79"/>
        <v>1.00000064021054</v>
      </c>
      <c r="AO77" s="32">
        <f t="shared" si="80"/>
        <v>-0.00113155662723241</v>
      </c>
      <c r="AP77" s="30" t="str">
        <f t="shared" si="81"/>
        <v>371,414501693656-149,477311540306i</v>
      </c>
      <c r="AQ77" s="32">
        <f t="shared" si="82"/>
        <v>52.0491238617594</v>
      </c>
      <c r="AR77" s="31">
        <f t="shared" si="83"/>
        <v>-21.9225249557914</v>
      </c>
      <c r="AS77" t="str">
        <f t="shared" si="58"/>
        <v>-0,000201496259351621</v>
      </c>
      <c r="AT77" t="str">
        <f t="shared" si="59"/>
        <v>0,0000549266283421307i</v>
      </c>
      <c r="AU77">
        <f t="shared" si="84"/>
        <v>5.49266283421307e-5</v>
      </c>
      <c r="AV77">
        <f t="shared" si="85"/>
        <v>1.5707963267949</v>
      </c>
      <c r="AW77" t="str">
        <f t="shared" si="60"/>
        <v>1+0,00281214262569958i</v>
      </c>
      <c r="AX77">
        <f t="shared" si="86"/>
        <v>1.00000395406526</v>
      </c>
      <c r="AY77">
        <f t="shared" si="87"/>
        <v>0.0028121352127898</v>
      </c>
      <c r="AZ77" t="str">
        <f t="shared" si="61"/>
        <v>1+0,134444350637169i</v>
      </c>
      <c r="BA77">
        <f t="shared" si="88"/>
        <v>1.00899716720031</v>
      </c>
      <c r="BB77">
        <f t="shared" si="89"/>
        <v>0.133642983892529</v>
      </c>
      <c r="BC77" s="30" t="str">
        <f t="shared" si="90"/>
        <v>-0,482883959489574+3,66982012955492i</v>
      </c>
      <c r="BD77" s="32">
        <f t="shared" si="91"/>
        <v>11.3674455418284</v>
      </c>
      <c r="BE77" s="31">
        <f t="shared" si="92"/>
        <v>97.4960554594638</v>
      </c>
      <c r="BF77" s="30" t="str">
        <f t="shared" si="93"/>
        <v>60,1028316997214+170,470192086122i</v>
      </c>
      <c r="BG77" s="68">
        <f t="shared" si="94"/>
        <v>45.1418152613506</v>
      </c>
      <c r="BH77" s="31">
        <f t="shared" si="95"/>
        <v>70.5788318495866</v>
      </c>
      <c r="BI77" s="30" t="str">
        <f t="shared" si="103"/>
        <v>369,204741612687+1435,20461077443i</v>
      </c>
      <c r="BJ77" s="68">
        <f t="shared" si="97"/>
        <v>63.4165694035877</v>
      </c>
      <c r="BK77" s="31">
        <f t="shared" si="104"/>
        <v>75.5735305036724</v>
      </c>
      <c r="BL77" s="32">
        <f t="shared" si="99"/>
        <v>45.1418152613506</v>
      </c>
      <c r="BM77" s="31">
        <f t="shared" si="100"/>
        <v>70.5788318495866</v>
      </c>
      <c r="BO77">
        <f t="shared" si="101"/>
        <v>0</v>
      </c>
      <c r="BP77">
        <f t="shared" si="102"/>
        <v>0</v>
      </c>
    </row>
    <row r="78" spans="1:68">
      <c r="A78" s="30" t="str">
        <f>"Phase Margin = "&amp;B78</f>
        <v>Phase Margin = 49°</v>
      </c>
      <c r="B78" s="93" t="str">
        <f>ROUND(D78,0)&amp;"°"</f>
        <v>49°</v>
      </c>
      <c r="C78" s="94"/>
      <c r="D78" s="18">
        <f>BP14</f>
        <v>49.0890077318169</v>
      </c>
      <c r="N78" s="7">
        <v>60</v>
      </c>
      <c r="O78" s="18">
        <f t="shared" si="62"/>
        <v>39.8107170553498</v>
      </c>
      <c r="P78" s="86" t="str">
        <f t="shared" si="50"/>
        <v>54,5454545454545</v>
      </c>
      <c r="Q78" s="4" t="str">
        <f t="shared" si="51"/>
        <v>1+0,509372156303478i</v>
      </c>
      <c r="R78" s="4">
        <f t="shared" si="63"/>
        <v>1.12225665229361</v>
      </c>
      <c r="S78" s="4">
        <f t="shared" si="64"/>
        <v>0.471117192158349</v>
      </c>
      <c r="T78" s="4" t="str">
        <f t="shared" si="52"/>
        <v>1+0,00392216560353678i</v>
      </c>
      <c r="U78" s="4">
        <f t="shared" si="65"/>
        <v>1.00000769166193</v>
      </c>
      <c r="V78" s="4">
        <f t="shared" si="66"/>
        <v>0.00392214549166383</v>
      </c>
      <c r="W78" t="str">
        <f t="shared" si="53"/>
        <v>1-0,0112562150611706i</v>
      </c>
      <c r="X78" s="4">
        <f t="shared" si="67"/>
        <v>1.00006334918219</v>
      </c>
      <c r="Y78" s="4">
        <f t="shared" si="68"/>
        <v>-0.0112557397009043</v>
      </c>
      <c r="Z78" t="str">
        <f t="shared" si="54"/>
        <v>0,999999987062096+0,00077721484946178i</v>
      </c>
      <c r="AA78" s="4">
        <f t="shared" si="69"/>
        <v>1.00000028909352</v>
      </c>
      <c r="AB78" s="4">
        <f t="shared" si="70"/>
        <v>0.000777214703021804</v>
      </c>
      <c r="AC78" s="67" t="str">
        <f t="shared" si="71"/>
        <v>43,1313071522277-22,4123211375225i</v>
      </c>
      <c r="AD78" s="68">
        <f t="shared" si="72"/>
        <v>33.7339420605761</v>
      </c>
      <c r="AE78" s="31">
        <f t="shared" si="73"/>
        <v>-27.4577418858369</v>
      </c>
      <c r="AF78" s="32" t="str">
        <f t="shared" si="74"/>
        <v>432,040091031901</v>
      </c>
      <c r="AG78" s="32" t="str">
        <f t="shared" si="55"/>
        <v>1+0,415043979210241i</v>
      </c>
      <c r="AH78" s="32">
        <f t="shared" si="75"/>
        <v>1.08271025887754</v>
      </c>
      <c r="AI78" s="32">
        <f t="shared" si="76"/>
        <v>0.393407678645326</v>
      </c>
      <c r="AJ78" s="32" t="str">
        <f t="shared" si="56"/>
        <v>1+0,00392216560353678i</v>
      </c>
      <c r="AK78" s="32">
        <f t="shared" si="77"/>
        <v>1.00000769166193</v>
      </c>
      <c r="AL78" s="32">
        <f t="shared" si="78"/>
        <v>0.00392214549166383</v>
      </c>
      <c r="AM78" s="32" t="str">
        <f t="shared" si="57"/>
        <v>1-0,00115791446122158i</v>
      </c>
      <c r="AN78" s="32">
        <f t="shared" si="79"/>
        <v>1.00000067038273</v>
      </c>
      <c r="AO78" s="32">
        <f t="shared" si="80"/>
        <v>-0.00115791394372459</v>
      </c>
      <c r="AP78" s="30" t="str">
        <f t="shared" si="81"/>
        <v>368,977164982659-151,947483476955i</v>
      </c>
      <c r="AQ78" s="32">
        <f t="shared" si="82"/>
        <v>52.0203085734191</v>
      </c>
      <c r="AR78" s="31">
        <f t="shared" si="83"/>
        <v>-22.3822208131223</v>
      </c>
      <c r="AS78" t="str">
        <f t="shared" si="58"/>
        <v>-0,000201496259351621</v>
      </c>
      <c r="AT78" t="str">
        <f t="shared" si="59"/>
        <v>0,0000562060338721118i</v>
      </c>
      <c r="AU78">
        <f t="shared" si="84"/>
        <v>5.62060338721118e-5</v>
      </c>
      <c r="AV78">
        <f t="shared" si="85"/>
        <v>1.5707963267949</v>
      </c>
      <c r="AW78" t="str">
        <f t="shared" si="60"/>
        <v>1+0,00287764584217238i</v>
      </c>
      <c r="AX78">
        <f t="shared" si="86"/>
        <v>1.00000414041423</v>
      </c>
      <c r="AY78">
        <f t="shared" si="87"/>
        <v>0.00287763789909821</v>
      </c>
      <c r="AZ78" t="str">
        <f t="shared" si="61"/>
        <v>1+0,137575961858752i</v>
      </c>
      <c r="BA78">
        <f t="shared" si="88"/>
        <v>1.00941921186461</v>
      </c>
      <c r="BB78">
        <f t="shared" si="89"/>
        <v>0.136717714080046</v>
      </c>
      <c r="BC78" s="30" t="str">
        <f t="shared" si="90"/>
        <v>-0,482883779520482+3,58634736520411i</v>
      </c>
      <c r="BD78" s="32">
        <f t="shared" si="91"/>
        <v>11.1710763089619</v>
      </c>
      <c r="BE78" s="31">
        <f t="shared" si="92"/>
        <v>97.6684714948778</v>
      </c>
      <c r="BF78" s="30" t="str">
        <f t="shared" si="93"/>
        <v>59,5509602463357+165,506396101915i</v>
      </c>
      <c r="BG78" s="68">
        <f t="shared" si="94"/>
        <v>44.905018369538</v>
      </c>
      <c r="BH78" s="31">
        <f t="shared" si="95"/>
        <v>70.2107296090409</v>
      </c>
      <c r="BI78" s="30" t="str">
        <f t="shared" si="103"/>
        <v>366,763369033394+1396,65325856602i</v>
      </c>
      <c r="BJ78" s="68">
        <f t="shared" si="97"/>
        <v>63.1913848823809</v>
      </c>
      <c r="BK78" s="31">
        <f t="shared" si="104"/>
        <v>75.2862506817555</v>
      </c>
      <c r="BL78" s="32">
        <f t="shared" si="99"/>
        <v>44.905018369538</v>
      </c>
      <c r="BM78" s="31">
        <f t="shared" si="100"/>
        <v>70.2107296090409</v>
      </c>
      <c r="BO78">
        <f t="shared" si="101"/>
        <v>0</v>
      </c>
      <c r="BP78">
        <f t="shared" si="102"/>
        <v>0</v>
      </c>
    </row>
    <row r="79" spans="1:68">
      <c r="N79" s="7">
        <v>61</v>
      </c>
      <c r="O79" s="18">
        <f t="shared" si="62"/>
        <v>40.7380277804113</v>
      </c>
      <c r="P79" s="86" t="str">
        <f t="shared" si="50"/>
        <v>54,5454545454545</v>
      </c>
      <c r="Q79" s="4" t="str">
        <f t="shared" si="51"/>
        <v>1+0,521236958008284i</v>
      </c>
      <c r="R79" s="4">
        <f t="shared" si="63"/>
        <v>1.1276914322605</v>
      </c>
      <c r="S79" s="4">
        <f t="shared" si="64"/>
        <v>0.480492474965531</v>
      </c>
      <c r="T79" s="4" t="str">
        <f t="shared" si="52"/>
        <v>1+0,00401352457666379i</v>
      </c>
      <c r="U79" s="4">
        <f t="shared" si="65"/>
        <v>1.00000805415733</v>
      </c>
      <c r="V79" s="4">
        <f t="shared" si="66"/>
        <v>0.00401350302641303</v>
      </c>
      <c r="W79" t="str">
        <f t="shared" si="53"/>
        <v>1-0,0115184059917009i</v>
      </c>
      <c r="X79" s="4">
        <f t="shared" si="67"/>
        <v>1.00006633463815</v>
      </c>
      <c r="Y79" s="4">
        <f t="shared" si="68"/>
        <v>-0.0115178966358234</v>
      </c>
      <c r="Z79" t="str">
        <f t="shared" si="54"/>
        <v>0,999999986452352+0,000795318508950779i</v>
      </c>
      <c r="AA79" s="4">
        <f t="shared" si="69"/>
        <v>1.00000030271807</v>
      </c>
      <c r="AB79" s="4">
        <f t="shared" si="70"/>
        <v>0.00079531835203752</v>
      </c>
      <c r="AC79" s="67" t="str">
        <f t="shared" si="71"/>
        <v>42,7083006847255-22,7138846341088i</v>
      </c>
      <c r="AD79" s="68">
        <f t="shared" si="72"/>
        <v>33.692009171536</v>
      </c>
      <c r="AE79" s="31">
        <f t="shared" si="73"/>
        <v>-28.0057293698855</v>
      </c>
      <c r="AF79" s="32" t="str">
        <f t="shared" si="74"/>
        <v>432,040091031901</v>
      </c>
      <c r="AG79" s="32" t="str">
        <f t="shared" si="55"/>
        <v>1+0,424711595414157i</v>
      </c>
      <c r="AH79" s="32">
        <f t="shared" si="75"/>
        <v>1.08645291627352</v>
      </c>
      <c r="AI79" s="32">
        <f t="shared" si="76"/>
        <v>0.401626340801815</v>
      </c>
      <c r="AJ79" s="32" t="str">
        <f t="shared" si="56"/>
        <v>1+0,00401352457666379i</v>
      </c>
      <c r="AK79" s="32">
        <f t="shared" si="77"/>
        <v>1.00000805415733</v>
      </c>
      <c r="AL79" s="32">
        <f t="shared" si="78"/>
        <v>0.00401350302641303</v>
      </c>
      <c r="AM79" s="32" t="str">
        <f t="shared" si="57"/>
        <v>1-0,00118488575382859i</v>
      </c>
      <c r="AN79" s="32">
        <f t="shared" si="79"/>
        <v>1.00000070197688</v>
      </c>
      <c r="AO79" s="32">
        <f t="shared" si="80"/>
        <v>-0.00118488519932059</v>
      </c>
      <c r="AP79" s="30" t="str">
        <f t="shared" si="81"/>
        <v>366,459277274099-154,417418930888i</v>
      </c>
      <c r="AQ79" s="32">
        <f t="shared" si="82"/>
        <v>51.9903388328203</v>
      </c>
      <c r="AR79" s="31">
        <f t="shared" si="83"/>
        <v>-22.8494264058791</v>
      </c>
      <c r="AS79" t="str">
        <f t="shared" si="58"/>
        <v>-0,000201496259351621</v>
      </c>
      <c r="AT79" t="str">
        <f t="shared" si="59"/>
        <v>0,0000575152405852267i</v>
      </c>
      <c r="AU79">
        <f t="shared" si="84"/>
        <v>5.75152405852267e-5</v>
      </c>
      <c r="AV79">
        <f t="shared" si="85"/>
        <v>1.5707963267949</v>
      </c>
      <c r="AW79" t="str">
        <f t="shared" si="60"/>
        <v>1+0,00294467482456084i</v>
      </c>
      <c r="AX79">
        <f t="shared" si="86"/>
        <v>1.00000433554551</v>
      </c>
      <c r="AY79">
        <f t="shared" si="87"/>
        <v>0.00294466631340552</v>
      </c>
      <c r="AZ79" t="str">
        <f t="shared" si="61"/>
        <v>1+0,140780517676345i</v>
      </c>
      <c r="BA79">
        <f t="shared" si="88"/>
        <v>1.00986095783391</v>
      </c>
      <c r="BB79">
        <f t="shared" si="89"/>
        <v>0.139861372909423</v>
      </c>
      <c r="BC79" s="30" t="str">
        <f t="shared" si="90"/>
        <v>-0,48288359106985+3,50477612964843i</v>
      </c>
      <c r="BD79" s="32">
        <f t="shared" si="91"/>
        <v>10.9748749354583</v>
      </c>
      <c r="BE79" s="31">
        <f t="shared" si="92"/>
        <v>97.8447494327828</v>
      </c>
      <c r="BF79" s="30" t="str">
        <f t="shared" si="93"/>
        <v>58,9839430740816+160,651194956938i</v>
      </c>
      <c r="BG79" s="68">
        <f t="shared" si="94"/>
        <v>44.6668841069943</v>
      </c>
      <c r="BH79" s="31">
        <f t="shared" si="95"/>
        <v>69.8390200628972</v>
      </c>
      <c r="BI79" s="30" t="str">
        <f t="shared" si="103"/>
        <v>364,241312079919+1358,92336525556i</v>
      </c>
      <c r="BJ79" s="68">
        <f t="shared" si="97"/>
        <v>62.9652137682786</v>
      </c>
      <c r="BK79" s="31">
        <f t="shared" si="104"/>
        <v>74.9953230269037</v>
      </c>
      <c r="BL79" s="32">
        <f t="shared" si="99"/>
        <v>44.6668841069943</v>
      </c>
      <c r="BM79" s="31">
        <f t="shared" si="100"/>
        <v>69.8390200628972</v>
      </c>
      <c r="BO79">
        <f t="shared" si="101"/>
        <v>0</v>
      </c>
      <c r="BP79">
        <f t="shared" si="102"/>
        <v>0</v>
      </c>
    </row>
    <row r="80" spans="1:68">
      <c r="N80" s="7">
        <v>62</v>
      </c>
      <c r="O80" s="18">
        <f t="shared" si="62"/>
        <v>41.6869383470336</v>
      </c>
      <c r="P80" s="86" t="str">
        <f t="shared" si="50"/>
        <v>54,5454545454545</v>
      </c>
      <c r="Q80" s="4" t="str">
        <f t="shared" si="51"/>
        <v>1+0,533378126447616i</v>
      </c>
      <c r="R80" s="4">
        <f t="shared" si="63"/>
        <v>1.13335441313508</v>
      </c>
      <c r="S80" s="4">
        <f t="shared" si="64"/>
        <v>0.489992199136987</v>
      </c>
      <c r="T80" s="4" t="str">
        <f t="shared" si="52"/>
        <v>1+0,00410701157364665i</v>
      </c>
      <c r="U80" s="4">
        <f t="shared" si="65"/>
        <v>1.00000843373647</v>
      </c>
      <c r="V80" s="4">
        <f t="shared" si="66"/>
        <v>0.00410698848214745</v>
      </c>
      <c r="W80" t="str">
        <f t="shared" si="53"/>
        <v>1-0,0117867041335522i</v>
      </c>
      <c r="X80" s="4">
        <f t="shared" si="67"/>
        <v>1.00006946078477</v>
      </c>
      <c r="Y80" s="4">
        <f t="shared" si="68"/>
        <v>-0.0117861583509435</v>
      </c>
      <c r="Z80" t="str">
        <f t="shared" si="54"/>
        <v>0,999999985813871+0,000813843856840512i</v>
      </c>
      <c r="AA80" s="4">
        <f t="shared" si="69"/>
        <v>1.00000031698473</v>
      </c>
      <c r="AB80" s="4">
        <f t="shared" si="70"/>
        <v>0.000813843688704929</v>
      </c>
      <c r="AC80" s="67" t="str">
        <f t="shared" si="71"/>
        <v>42,273990606566-23,0113075610013i</v>
      </c>
      <c r="AD80" s="68">
        <f t="shared" si="72"/>
        <v>33.6485303121902</v>
      </c>
      <c r="AE80" s="31">
        <f t="shared" si="73"/>
        <v>-28.5610988370753</v>
      </c>
      <c r="AF80" s="32" t="str">
        <f t="shared" si="74"/>
        <v>432,040091031901</v>
      </c>
      <c r="AG80" s="32" t="str">
        <f t="shared" si="55"/>
        <v>1+0,434604399327687i</v>
      </c>
      <c r="AH80" s="32">
        <f t="shared" si="75"/>
        <v>1.09035819064883</v>
      </c>
      <c r="AI80" s="32">
        <f t="shared" si="76"/>
        <v>0.409977453580382</v>
      </c>
      <c r="AJ80" s="32" t="str">
        <f t="shared" si="56"/>
        <v>1+0,00410701157364665i</v>
      </c>
      <c r="AK80" s="32">
        <f t="shared" si="77"/>
        <v>1.00000843373647</v>
      </c>
      <c r="AL80" s="32">
        <f t="shared" si="78"/>
        <v>0.00410698848214745</v>
      </c>
      <c r="AM80" s="32" t="str">
        <f t="shared" si="57"/>
        <v>1-0,0012124852885461i</v>
      </c>
      <c r="AN80" s="32">
        <f t="shared" si="79"/>
        <v>1.00000073506002</v>
      </c>
      <c r="AO80" s="32">
        <f t="shared" si="80"/>
        <v>-0.0012124846943801</v>
      </c>
      <c r="AP80" s="30" t="str">
        <f t="shared" si="81"/>
        <v>363,859581783787-156,884423581057i</v>
      </c>
      <c r="AQ80" s="32">
        <f t="shared" si="82"/>
        <v>51.9591768111549</v>
      </c>
      <c r="AR80" s="31">
        <f t="shared" si="83"/>
        <v>-23.3241349348528</v>
      </c>
      <c r="AS80" t="str">
        <f t="shared" si="58"/>
        <v>-0,000201496259351621</v>
      </c>
      <c r="AT80" t="str">
        <f t="shared" si="59"/>
        <v>0,0000588549426402041i</v>
      </c>
      <c r="AU80">
        <f t="shared" si="84"/>
        <v>5.88549426402041e-5</v>
      </c>
      <c r="AV80">
        <f t="shared" si="85"/>
        <v>1.5707963267949</v>
      </c>
      <c r="AW80" t="str">
        <f t="shared" si="60"/>
        <v>1+0,00301326511251867i</v>
      </c>
      <c r="AX80">
        <f t="shared" si="86"/>
        <v>1.00000453987301</v>
      </c>
      <c r="AY80">
        <f t="shared" si="87"/>
        <v>0.00301325599265367</v>
      </c>
      <c r="AZ80" t="str">
        <f t="shared" si="61"/>
        <v>1+0,14405971718786i</v>
      </c>
      <c r="BA80">
        <f t="shared" si="88"/>
        <v>1.01032331563527</v>
      </c>
      <c r="BB80">
        <f t="shared" si="89"/>
        <v>0.143075378519735</v>
      </c>
      <c r="BC80" s="30" t="str">
        <f t="shared" si="90"/>
        <v>-0,482883393737968+3,42506317273556i</v>
      </c>
      <c r="BD80" s="32">
        <f t="shared" si="91"/>
        <v>10.7788490246436</v>
      </c>
      <c r="BE80" s="31">
        <f t="shared" si="92"/>
        <v>98.024968490446</v>
      </c>
      <c r="BF80" s="30" t="str">
        <f t="shared" si="93"/>
        <v>58,4017740327313+155,902866680523i</v>
      </c>
      <c r="BG80" s="68">
        <f t="shared" si="94"/>
        <v>44.4273793368338</v>
      </c>
      <c r="BH80" s="31">
        <f t="shared" si="95"/>
        <v>69.4638696533707</v>
      </c>
      <c r="BI80" s="30" t="str">
        <f t="shared" si="103"/>
        <v>361,637311887492+1321,99893649806i</v>
      </c>
      <c r="BJ80" s="68">
        <f t="shared" si="97"/>
        <v>62.7380258357985</v>
      </c>
      <c r="BK80" s="31">
        <f t="shared" si="104"/>
        <v>74.7008335555932</v>
      </c>
      <c r="BL80" s="32">
        <f t="shared" si="99"/>
        <v>44.4273793368338</v>
      </c>
      <c r="BM80" s="31">
        <f t="shared" si="100"/>
        <v>69.4638696533707</v>
      </c>
      <c r="BO80">
        <f t="shared" si="101"/>
        <v>0</v>
      </c>
      <c r="BP80">
        <f t="shared" si="102"/>
        <v>0</v>
      </c>
    </row>
    <row r="81" spans="14:68">
      <c r="N81" s="7">
        <v>63</v>
      </c>
      <c r="O81" s="18">
        <f t="shared" si="62"/>
        <v>42.6579518801593</v>
      </c>
      <c r="P81" s="86" t="str">
        <f t="shared" si="50"/>
        <v>54,5454545454545</v>
      </c>
      <c r="Q81" s="4" t="str">
        <f t="shared" si="51"/>
        <v>1+0,545802099029683i</v>
      </c>
      <c r="R81" s="4">
        <f t="shared" si="63"/>
        <v>1.13925411182282</v>
      </c>
      <c r="S81" s="4">
        <f t="shared" si="64"/>
        <v>0.499614542305437</v>
      </c>
      <c r="T81" s="4" t="str">
        <f t="shared" si="52"/>
        <v>1+0,00420267616252856i</v>
      </c>
      <c r="U81" s="4">
        <f t="shared" si="65"/>
        <v>1.00000883120447</v>
      </c>
      <c r="V81" s="4">
        <f t="shared" si="66"/>
        <v>0.00420265141955318</v>
      </c>
      <c r="W81" t="str">
        <f t="shared" si="53"/>
        <v>1-0,0120612517419506i</v>
      </c>
      <c r="X81" s="4">
        <f t="shared" si="67"/>
        <v>1.00007273425166</v>
      </c>
      <c r="Y81" s="4">
        <f t="shared" si="68"/>
        <v>-0.0120606669276461</v>
      </c>
      <c r="Z81" t="str">
        <f t="shared" si="54"/>
        <v>0,999999985145299+0,000832800715515637i</v>
      </c>
      <c r="AA81" s="4">
        <f t="shared" si="69"/>
        <v>1.00000033192376</v>
      </c>
      <c r="AB81" s="4">
        <f t="shared" si="70"/>
        <v>0.000832800535355117</v>
      </c>
      <c r="AC81" s="67" t="str">
        <f t="shared" si="71"/>
        <v>41,8283966800249-23,3041037591515i</v>
      </c>
      <c r="AD81" s="68">
        <f t="shared" si="72"/>
        <v>33.6034647722288</v>
      </c>
      <c r="AE81" s="31">
        <f t="shared" si="73"/>
        <v>-29.1237517372759</v>
      </c>
      <c r="AF81" s="32" t="str">
        <f t="shared" si="74"/>
        <v>432,040091031901</v>
      </c>
      <c r="AG81" s="32" t="str">
        <f t="shared" si="55"/>
        <v>1+0,444727636246408i</v>
      </c>
      <c r="AH81" s="32">
        <f t="shared" si="75"/>
        <v>1.09443257921231</v>
      </c>
      <c r="AI81" s="32">
        <f t="shared" si="76"/>
        <v>0.418460784475068</v>
      </c>
      <c r="AJ81" s="32" t="str">
        <f t="shared" si="56"/>
        <v>1+0,00420267616252856i</v>
      </c>
      <c r="AK81" s="32">
        <f t="shared" si="77"/>
        <v>1.00000883120447</v>
      </c>
      <c r="AL81" s="32">
        <f t="shared" si="78"/>
        <v>0.00420265141955318</v>
      </c>
      <c r="AM81" s="32" t="str">
        <f t="shared" si="57"/>
        <v>1-0,00124072769901273i</v>
      </c>
      <c r="AN81" s="32">
        <f t="shared" si="79"/>
        <v>1.00000076970232</v>
      </c>
      <c r="AO81" s="32">
        <f t="shared" si="80"/>
        <v>-0.00124072706235242</v>
      </c>
      <c r="AP81" s="30" t="str">
        <f t="shared" si="81"/>
        <v>361,176917820173-159,34567644512i</v>
      </c>
      <c r="AQ81" s="32">
        <f t="shared" si="82"/>
        <v>51.9267841162518</v>
      </c>
      <c r="AR81" s="31">
        <f t="shared" si="83"/>
        <v>-23.8063310772504</v>
      </c>
      <c r="AS81" t="str">
        <f t="shared" si="58"/>
        <v>-0,000201496259351621</v>
      </c>
      <c r="AT81" t="str">
        <f t="shared" si="59"/>
        <v>0,0000602258503648066i</v>
      </c>
      <c r="AU81">
        <f t="shared" si="84"/>
        <v>6.02258503648066e-5</v>
      </c>
      <c r="AV81">
        <f t="shared" si="85"/>
        <v>1.5707963267949</v>
      </c>
      <c r="AW81" t="str">
        <f t="shared" si="60"/>
        <v>1+0,00308345307352443i</v>
      </c>
      <c r="AX81">
        <f t="shared" si="86"/>
        <v>1.00000475383013</v>
      </c>
      <c r="AY81">
        <f t="shared" si="87"/>
        <v>0.00308344330141553</v>
      </c>
      <c r="AZ81" t="str">
        <f t="shared" si="61"/>
        <v>1+0,147415299068285i</v>
      </c>
      <c r="BA81">
        <f t="shared" si="88"/>
        <v>1.01080723701376</v>
      </c>
      <c r="BB81">
        <f t="shared" si="89"/>
        <v>0.146361169279337</v>
      </c>
      <c r="BC81" s="30" t="str">
        <f t="shared" si="90"/>
        <v>-0,482883187106298+3,34716622959689i</v>
      </c>
      <c r="BD81" s="32">
        <f t="shared" si="91"/>
        <v>10.5830065094019</v>
      </c>
      <c r="BE81" s="31">
        <f t="shared" si="92"/>
        <v>98.2092089967668</v>
      </c>
      <c r="BF81" s="30" t="str">
        <f t="shared" si="93"/>
        <v>57,8044796132569+151,259756701437i</v>
      </c>
      <c r="BG81" s="68">
        <f t="shared" si="94"/>
        <v>44.1864712816307</v>
      </c>
      <c r="BH81" s="31">
        <f t="shared" si="95"/>
        <v>69.0854572594909</v>
      </c>
      <c r="BI81" s="30" t="str">
        <f t="shared" si="103"/>
        <v>358,950205843144+1285,864530331i</v>
      </c>
      <c r="BJ81" s="68">
        <f t="shared" si="97"/>
        <v>62.5097906256537</v>
      </c>
      <c r="BK81" s="31">
        <f t="shared" si="104"/>
        <v>74.4028779195163</v>
      </c>
      <c r="BL81" s="32">
        <f t="shared" si="99"/>
        <v>44.1864712816307</v>
      </c>
      <c r="BM81" s="31">
        <f t="shared" si="100"/>
        <v>69.0854572594909</v>
      </c>
      <c r="BO81">
        <f t="shared" si="101"/>
        <v>0</v>
      </c>
      <c r="BP81">
        <f t="shared" si="102"/>
        <v>0</v>
      </c>
    </row>
    <row r="82" spans="14:68">
      <c r="N82" s="7">
        <v>64</v>
      </c>
      <c r="O82" s="18">
        <f t="shared" si="62"/>
        <v>43.6515832240166</v>
      </c>
      <c r="P82" s="86" t="str">
        <f t="shared" si="50"/>
        <v>54,5454545454545</v>
      </c>
      <c r="Q82" s="4" t="str">
        <f t="shared" si="51"/>
        <v>1+0,5585154631092i</v>
      </c>
      <c r="R82" s="4">
        <f t="shared" si="63"/>
        <v>1.145399285198</v>
      </c>
      <c r="S82" s="4">
        <f t="shared" si="64"/>
        <v>0.509357478148208</v>
      </c>
      <c r="T82" s="4" t="str">
        <f t="shared" si="52"/>
        <v>1+0,00430056906594085i</v>
      </c>
      <c r="U82" s="4">
        <f t="shared" si="65"/>
        <v>1.00000924740439</v>
      </c>
      <c r="V82" s="4">
        <f t="shared" si="66"/>
        <v>0.0043005425533783</v>
      </c>
      <c r="W82" t="str">
        <f t="shared" si="53"/>
        <v>1-0,0123421943856721i</v>
      </c>
      <c r="X82" s="4">
        <f t="shared" si="67"/>
        <v>1.0000761619808</v>
      </c>
      <c r="Y82" s="4">
        <f t="shared" si="68"/>
        <v>-0.0123415677484322</v>
      </c>
      <c r="Z82" t="str">
        <f t="shared" si="54"/>
        <v>0,999999984445219+0,000852199136153547i</v>
      </c>
      <c r="AA82" s="4">
        <f t="shared" si="69"/>
        <v>1.00000034756684</v>
      </c>
      <c r="AB82" s="4">
        <f t="shared" si="70"/>
        <v>0.000852198943108075</v>
      </c>
      <c r="AC82" s="67" t="str">
        <f t="shared" si="71"/>
        <v>41,3715642454228-23,5917781849093i</v>
      </c>
      <c r="AD82" s="68">
        <f t="shared" si="72"/>
        <v>33.5567719615131</v>
      </c>
      <c r="AE82" s="31">
        <f t="shared" si="73"/>
        <v>-29.6935779706999</v>
      </c>
      <c r="AF82" s="32" t="str">
        <f t="shared" si="74"/>
        <v>432,040091031901</v>
      </c>
      <c r="AG82" s="32" t="str">
        <f t="shared" si="55"/>
        <v>1+0,455086673644533i</v>
      </c>
      <c r="AH82" s="32">
        <f t="shared" si="75"/>
        <v>1.09868279340711</v>
      </c>
      <c r="AI82" s="32">
        <f t="shared" si="76"/>
        <v>0.427075946260242</v>
      </c>
      <c r="AJ82" s="32" t="str">
        <f t="shared" si="56"/>
        <v>1+0,00430056906594085i</v>
      </c>
      <c r="AK82" s="32">
        <f t="shared" si="77"/>
        <v>1.00000924740439</v>
      </c>
      <c r="AL82" s="32">
        <f t="shared" si="78"/>
        <v>0.0043005425533783</v>
      </c>
      <c r="AM82" s="32" t="str">
        <f t="shared" si="57"/>
        <v>1-0,00126962795972835i</v>
      </c>
      <c r="AN82" s="32">
        <f t="shared" si="79"/>
        <v>1.00000080597725</v>
      </c>
      <c r="AO82" s="32">
        <f t="shared" si="80"/>
        <v>-0.00126962727753456</v>
      </c>
      <c r="AP82" s="30" t="str">
        <f t="shared" si="81"/>
        <v>358,410230944571-161,798231729293i</v>
      </c>
      <c r="AQ82" s="32">
        <f t="shared" si="82"/>
        <v>51.8931218397335</v>
      </c>
      <c r="AR82" s="31">
        <f t="shared" si="83"/>
        <v>-24.2959905989002</v>
      </c>
      <c r="AS82" t="str">
        <f t="shared" si="58"/>
        <v>-0,000201496259351621</v>
      </c>
      <c r="AT82" t="str">
        <f t="shared" si="59"/>
        <v>0,0000616286906324558i</v>
      </c>
      <c r="AU82">
        <f t="shared" si="84"/>
        <v>6.16286906324558e-5</v>
      </c>
      <c r="AV82">
        <f t="shared" si="85"/>
        <v>1.5707963267949</v>
      </c>
      <c r="AW82" t="str">
        <f t="shared" si="60"/>
        <v>1+0,0031552759221641i</v>
      </c>
      <c r="AX82">
        <f t="shared" si="86"/>
        <v>1.00000497787068</v>
      </c>
      <c r="AY82">
        <f t="shared" si="87"/>
        <v>0.00315526545116358</v>
      </c>
      <c r="AZ82" t="str">
        <f t="shared" si="61"/>
        <v>1+0,150849042491547i</v>
      </c>
      <c r="BA82">
        <f t="shared" si="88"/>
        <v>1.01131371671733</v>
      </c>
      <c r="BB82">
        <f t="shared" si="89"/>
        <v>0.14972020341203</v>
      </c>
      <c r="BC82" s="30" t="str">
        <f t="shared" si="90"/>
        <v>-0,482882970736565+3,27104399823807i</v>
      </c>
      <c r="BD82" s="32">
        <f t="shared" si="91"/>
        <v>10.3873556650619</v>
      </c>
      <c r="BE82" s="31">
        <f t="shared" si="92"/>
        <v>98.3975523697544</v>
      </c>
      <c r="BF82" s="30" t="str">
        <f t="shared" si="93"/>
        <v>57,192120592663+146,720274857598i</v>
      </c>
      <c r="BG82" s="68">
        <f t="shared" si="94"/>
        <v>43.9441276265751</v>
      </c>
      <c r="BH82" s="31">
        <f t="shared" si="95"/>
        <v>68.7039743990545</v>
      </c>
      <c r="BI82" s="30" t="str">
        <f t="shared" si="103"/>
        <v>356,178937762744+1250,50524563572i</v>
      </c>
      <c r="BJ82" s="68">
        <f t="shared" si="97"/>
        <v>62.2804775047954</v>
      </c>
      <c r="BK82" s="31">
        <f t="shared" si="104"/>
        <v>74.1015617708542</v>
      </c>
      <c r="BL82" s="32">
        <f t="shared" si="99"/>
        <v>43.9441276265751</v>
      </c>
      <c r="BM82" s="31">
        <f t="shared" si="100"/>
        <v>68.7039743990545</v>
      </c>
      <c r="BO82">
        <f t="shared" si="101"/>
        <v>0</v>
      </c>
      <c r="BP82">
        <f t="shared" si="102"/>
        <v>0</v>
      </c>
    </row>
    <row r="83" spans="14:68">
      <c r="N83" s="7">
        <v>65</v>
      </c>
      <c r="O83" s="18">
        <f t="shared" si="62"/>
        <v>44.6683592150963</v>
      </c>
      <c r="P83" s="86" t="str">
        <f t="shared" ref="P83:P146" si="105">COMPLEX(Adc,0)</f>
        <v>54,5454545454545</v>
      </c>
      <c r="Q83" s="4" t="str">
        <f t="shared" ref="Q83:Q146" si="106">IMSUM(COMPLEX(1,0),IMDIV(COMPLEX(0,2*PI()*O83),COMPLEX(wp_lf,0)))</f>
        <v>1+0,571524959480084i</v>
      </c>
      <c r="R83" s="4">
        <f t="shared" si="63"/>
        <v>1.15179893180568</v>
      </c>
      <c r="S83" s="4">
        <f t="shared" si="64"/>
        <v>0.51921877299144</v>
      </c>
      <c r="T83" s="4" t="str">
        <f t="shared" ref="T83:T146" si="107">IMSUM(COMPLEX(1,0),IMDIV(COMPLEX(0,2*PI()*O83),COMPLEX(wz_esr,0)))</f>
        <v>1+0,00440074218799665i</v>
      </c>
      <c r="U83" s="4">
        <f t="shared" si="65"/>
        <v>1.00000968321902</v>
      </c>
      <c r="V83" s="4">
        <f t="shared" si="66"/>
        <v>0.00440071377928891</v>
      </c>
      <c r="W83" t="str">
        <f t="shared" ref="W83:W146" si="108">IMSUB(COMPLEX(1,0),IMDIV(COMPLEX(0,2*PI()*O83),COMPLEX(wz_rhp,0)))</f>
        <v>1-0,0126296810242251i</v>
      </c>
      <c r="X83" s="4">
        <f t="shared" si="67"/>
        <v>1.00007975124126</v>
      </c>
      <c r="Y83" s="4">
        <f t="shared" si="68"/>
        <v>-0.0126290095732171</v>
      </c>
      <c r="Z83" t="str">
        <f t="shared" ref="Z83:Z146" si="109">IMSUM(COMPLEX(1,0),IMDIV(COMPLEX(0,2*PI()*O83),COMPLEX(Q*(wsl/2),0)),IMDIV(IMPOWER(COMPLEX(0,2*PI()*O83),2),IMPOWER(COMPLEX(wsl/2,0),2)))</f>
        <v>0,999999983712144+0,000872049404053637i</v>
      </c>
      <c r="AA83" s="4">
        <f t="shared" si="69"/>
        <v>1.00000036394716</v>
      </c>
      <c r="AB83" s="4">
        <f t="shared" si="70"/>
        <v>0.000872049197201691</v>
      </c>
      <c r="AC83" s="67" t="str">
        <f t="shared" si="71"/>
        <v>40,9035653791776-23,8738283613876i</v>
      </c>
      <c r="AD83" s="68">
        <f t="shared" si="72"/>
        <v>33.508411504661</v>
      </c>
      <c r="AE83" s="31">
        <f t="shared" si="73"/>
        <v>-30.2704556964754</v>
      </c>
      <c r="AF83" s="32" t="str">
        <f t="shared" si="74"/>
        <v>432,040091031901</v>
      </c>
      <c r="AG83" s="32" t="str">
        <f t="shared" ref="AG83:AG146" si="110">IMSUM(COMPLEX(1,0),IMDIV(COMPLEX(0,2*PI()*O83),COMPLEX(wp_lf_DCM,0)))</f>
        <v>1+0,465687004020809i</v>
      </c>
      <c r="AH83" s="32">
        <f t="shared" si="75"/>
        <v>1.10311576260784</v>
      </c>
      <c r="AI83" s="32">
        <f t="shared" si="76"/>
        <v>0.43582239036098</v>
      </c>
      <c r="AJ83" s="32" t="str">
        <f t="shared" ref="AJ83:AJ146" si="111">IMSUM(COMPLEX(1,0),IMDIV(COMPLEX(0,2*PI()*O83),COMPLEX(wz1_dcm,0)))</f>
        <v>1+0,00440074218799665i</v>
      </c>
      <c r="AK83" s="32">
        <f t="shared" si="77"/>
        <v>1.00000968321902</v>
      </c>
      <c r="AL83" s="32">
        <f t="shared" si="78"/>
        <v>0.00440071377928891</v>
      </c>
      <c r="AM83" s="32" t="str">
        <f t="shared" ref="AM83:AM146" si="112">IMSUB(COMPLEX(1,0),IMDIV(COMPLEX(0,2*PI()*O83),COMPLEX(wz2_dcm,0)))</f>
        <v>1-0,00129920139399373i</v>
      </c>
      <c r="AN83" s="32">
        <f t="shared" si="79"/>
        <v>1.00000084396177</v>
      </c>
      <c r="AO83" s="32">
        <f t="shared" si="80"/>
        <v>-0.00129920066300995</v>
      </c>
      <c r="AP83" s="30" t="str">
        <f t="shared" si="81"/>
        <v>355,558583349452-164,239021466909i</v>
      </c>
      <c r="AQ83" s="32">
        <f t="shared" si="82"/>
        <v>51.8581506089615</v>
      </c>
      <c r="AR83" s="31">
        <f t="shared" si="83"/>
        <v>-24.7930799733199</v>
      </c>
      <c r="AS83" t="str">
        <f t="shared" ref="AS83:AS146" si="113">COMPLEX(Adc_ea,0)</f>
        <v>-0,000201496259351621</v>
      </c>
      <c r="AT83" t="str">
        <f t="shared" ref="AT83:AT146" si="114">COMPLEX(0,2*PI()*O83*wp0_ea)</f>
        <v>0,0000630642072476306i</v>
      </c>
      <c r="AU83">
        <f t="shared" si="84"/>
        <v>6.30642072476306e-5</v>
      </c>
      <c r="AV83">
        <f t="shared" si="85"/>
        <v>1.5707963267949</v>
      </c>
      <c r="AW83" t="str">
        <f t="shared" ref="AW83:AW146" si="115">IMSUM(COMPLEX(1,0),IMDIV(COMPLEX(0,2*PI()*O83),COMPLEX(wp1_ea,0)))</f>
        <v>1+0,00322877173986272i</v>
      </c>
      <c r="AX83">
        <f t="shared" si="86"/>
        <v>1.00000521246989</v>
      </c>
      <c r="AY83">
        <f t="shared" si="87"/>
        <v>0.00322876051998668</v>
      </c>
      <c r="AZ83" t="str">
        <f t="shared" ref="AZ83:AZ146" si="116">IMSUM(COMPLEX(1,0),IMDIV(COMPLEX(0,2*PI()*O83),COMPLEX(wz_ea,0)))</f>
        <v>1+0,154362768073862i</v>
      </c>
      <c r="BA83">
        <f t="shared" si="88"/>
        <v>1.01184379435139</v>
      </c>
      <c r="BB83">
        <f t="shared" si="89"/>
        <v>0.153153958562285</v>
      </c>
      <c r="BC83" s="30" t="str">
        <f t="shared" si="90"/>
        <v>-0,48288274416985+3,19665611764012i</v>
      </c>
      <c r="BD83" s="32">
        <f t="shared" si="91"/>
        <v>10.1919051226527</v>
      </c>
      <c r="BE83" s="31">
        <f t="shared" si="92"/>
        <v>98.5900810904868</v>
      </c>
      <c r="BF83" s="30" t="str">
        <f t="shared" si="93"/>
        <v>56,5647935862917+142,282892255628i</v>
      </c>
      <c r="BG83" s="68">
        <f t="shared" si="94"/>
        <v>43.7003166273138</v>
      </c>
      <c r="BH83" s="31">
        <f t="shared" si="95"/>
        <v>68.3196253940114</v>
      </c>
      <c r="BI83" s="30" t="str">
        <f t="shared" si="103"/>
        <v>353,322568286494+1215,90671002919i</v>
      </c>
      <c r="BJ83" s="68">
        <f t="shared" si="97"/>
        <v>62.0500557316142</v>
      </c>
      <c r="BK83" s="31">
        <f t="shared" si="104"/>
        <v>73.7970011171668</v>
      </c>
      <c r="BL83" s="32">
        <f t="shared" si="99"/>
        <v>43.7003166273138</v>
      </c>
      <c r="BM83" s="31">
        <f t="shared" si="100"/>
        <v>68.3196253940114</v>
      </c>
      <c r="BO83">
        <f t="shared" si="101"/>
        <v>0</v>
      </c>
      <c r="BP83">
        <f t="shared" si="102"/>
        <v>0</v>
      </c>
    </row>
    <row r="84" spans="14:68">
      <c r="N84" s="7">
        <v>66</v>
      </c>
      <c r="O84" s="18">
        <f t="shared" ref="O84:O118" si="117">10^(1+(N84/100))</f>
        <v>45.7088189614875</v>
      </c>
      <c r="P84" s="86" t="str">
        <f t="shared" si="105"/>
        <v>54,5454545454545</v>
      </c>
      <c r="Q84" s="4" t="str">
        <f t="shared" si="106"/>
        <v>1+0,584837485949512i</v>
      </c>
      <c r="R84" s="4">
        <f t="shared" ref="R84:R147" si="118">IMABS(Q84)</f>
        <v>1.15846229328871</v>
      </c>
      <c r="S84" s="4">
        <f t="shared" ref="S84:S147" si="119">IMARGUMENT(Q84)</f>
        <v>0.529195983044697</v>
      </c>
      <c r="T84" s="4" t="str">
        <f t="shared" si="107"/>
        <v>1+0,00450324864181125i</v>
      </c>
      <c r="U84" s="4">
        <f t="shared" ref="U84:U147" si="120">IMABS(T84)</f>
        <v>1.00001013957276</v>
      </c>
      <c r="V84" s="4">
        <f t="shared" ref="V84:V147" si="121">IMARGUMENT(T84)</f>
        <v>0.00450321820134914</v>
      </c>
      <c r="W84" t="str">
        <f t="shared" si="108"/>
        <v>1-0,0129238640868308i</v>
      </c>
      <c r="X84" s="4">
        <f t="shared" ref="X84:X147" si="122">IMABS(W84)</f>
        <v>1.00008350964454</v>
      </c>
      <c r="Y84" s="4">
        <f t="shared" ref="Y84:Y147" si="123">IMARGUMENT(W84)</f>
        <v>-0.0129231446173579</v>
      </c>
      <c r="Z84" t="str">
        <f t="shared" si="109"/>
        <v>0,999999982944521+0,000892362044090695i</v>
      </c>
      <c r="AA84" s="4">
        <f t="shared" ref="AA84:AA147" si="124">IMABS(Z84)</f>
        <v>1.00000038109946</v>
      </c>
      <c r="AB84" s="4">
        <f t="shared" ref="AB84:AB147" si="125">IMARGUMENT(Z84)</f>
        <v>0.000892361822444847</v>
      </c>
      <c r="AC84" s="67" t="str">
        <f t="shared" ref="AC84:AC147" si="126">(IMDIV(IMPRODUCT(P84,T84,W84),IMPRODUCT(Q84,Z84)))</f>
        <v>40,4244999684785-24,1497459604417i</v>
      </c>
      <c r="AD84" s="68">
        <f t="shared" ref="AD84:AD147" si="127">20*LOG(IMABS(AC84))</f>
        <v>33.4583433396723</v>
      </c>
      <c r="AE84" s="31">
        <f t="shared" ref="AE84:AE147" si="128">(180/PI())*IMARGUMENT(AC84)</f>
        <v>-30.8542511774105</v>
      </c>
      <c r="AF84" s="32" t="str">
        <f t="shared" ref="AF84:AF147" si="129">COMPLEX($B$68,0)</f>
        <v>432,040091031901</v>
      </c>
      <c r="AG84" s="32" t="str">
        <f t="shared" si="110"/>
        <v>1+0,476534247810714i</v>
      </c>
      <c r="AH84" s="32">
        <f t="shared" ref="AH84:AH147" si="130">IMABS(AG84)</f>
        <v>1.10773863764722</v>
      </c>
      <c r="AI84" s="32">
        <f t="shared" ref="AI84:AI147" si="131">IMARGUMENT(AG84)</f>
        <v>0.4446994003873</v>
      </c>
      <c r="AJ84" s="32" t="str">
        <f t="shared" si="111"/>
        <v>1+0,00450324864181125i</v>
      </c>
      <c r="AK84" s="32">
        <f t="shared" ref="AK84:AK147" si="132">IMABS(AJ84)</f>
        <v>1.00001013957276</v>
      </c>
      <c r="AL84" s="32">
        <f t="shared" ref="AL84:AL147" si="133">IMARGUMENT(AJ84)</f>
        <v>0.00450321820134914</v>
      </c>
      <c r="AM84" s="32" t="str">
        <f t="shared" si="112"/>
        <v>1-0,00132946368203517i</v>
      </c>
      <c r="AN84" s="32">
        <f t="shared" ref="AN84:AN147" si="134">IMABS(AM84)</f>
        <v>1.00000088373645</v>
      </c>
      <c r="AO84" s="32">
        <f t="shared" ref="AO84:AO147" si="135">IMARGUMENT(AM84)</f>
        <v>-0.00132946289877198</v>
      </c>
      <c r="AP84" s="30" t="str">
        <f t="shared" ref="AP84:AP147" si="136">(IMDIV(IMPRODUCT(AF84,AJ84,AM84),IMPRODUCT(AG84)))</f>
        <v>352,621164397315-166,664858995275i</v>
      </c>
      <c r="AQ84" s="32">
        <f t="shared" ref="AQ84:AQ147" si="137">20*LOG(IMABS(AP84))</f>
        <v>51.8218306438596</v>
      </c>
      <c r="AR84" s="31">
        <f t="shared" ref="AR84:AR147" si="138">(180/PI())*IMARGUMENT(AP84)</f>
        <v>-25.2975560101457</v>
      </c>
      <c r="AS84" t="str">
        <f t="shared" si="113"/>
        <v>-0,000201496259351621</v>
      </c>
      <c r="AT84" t="str">
        <f t="shared" si="114"/>
        <v>0,0000645331613402415i</v>
      </c>
      <c r="AU84">
        <f t="shared" ref="AU84:AU147" si="139">IMABS(AT84)</f>
        <v>6.45331613402415e-5</v>
      </c>
      <c r="AV84">
        <f t="shared" ref="AV84:AV147" si="140">IMARGUMENT(AT84)</f>
        <v>1.5707963267949</v>
      </c>
      <c r="AW84" t="str">
        <f t="shared" si="115"/>
        <v>1+0,00330397949507566i</v>
      </c>
      <c r="AX84">
        <f t="shared" ref="AX84:AX147" si="141">IMABS(AW84)</f>
        <v>1.00000545812536</v>
      </c>
      <c r="AY84">
        <f t="shared" ref="AY84:AY147" si="142">IMARGUMENT(AW84)</f>
        <v>0.00330396747276542</v>
      </c>
      <c r="AZ84" t="str">
        <f t="shared" si="116"/>
        <v>1+0,157958338839042i</v>
      </c>
      <c r="BA84">
        <f t="shared" ref="BA84:BA147" si="143">IMABS(AZ84)</f>
        <v>1.01239855630517</v>
      </c>
      <c r="BB84">
        <f t="shared" ref="BB84:BB147" si="144">IMARGUMENT(AZ84)</f>
        <v>0.156663931295254</v>
      </c>
      <c r="BC84" s="30" t="str">
        <f t="shared" ref="BC84:BC147" si="145">IMPRODUCT(AS84,IMDIV(AZ84,IMPRODUCT(AT84,AW84)))</f>
        <v>-0,482882506925602+3,12396314635953i</v>
      </c>
      <c r="BD84" s="32">
        <f t="shared" ref="BD84:BD147" si="146">20*LOG(IMABS(BC84))</f>
        <v>9.99666388252831</v>
      </c>
      <c r="BE84" s="31">
        <f t="shared" ref="BE84:BE147" si="147">(180/PI())*IMARGUMENT(BC84)</f>
        <v>98.7868786733076</v>
      </c>
      <c r="BF84" s="30" t="str">
        <f t="shared" ref="BF84:BF147" si="148">IMPRODUCT(AC84,BC84)</f>
        <v>55,922632488372+137,946137982533i</v>
      </c>
      <c r="BG84" s="68">
        <f t="shared" ref="BG84:BG147" si="149">20*LOG(IMABS(BF84))</f>
        <v>43.4550072222006</v>
      </c>
      <c r="BH84" s="31">
        <f t="shared" ref="BH84:BH147" si="150">(180/PI())*IMARGUMENT(BF84)</f>
        <v>67.932627495897</v>
      </c>
      <c r="BI84" s="30" t="str">
        <f t="shared" si="103"/>
        <v>350,380285435246+1182,05506713164i</v>
      </c>
      <c r="BJ84" s="68">
        <f t="shared" ref="BJ84:BJ147" si="151">20*LOG(IMABS(BI84))</f>
        <v>61.8184945263879</v>
      </c>
      <c r="BK84" s="31">
        <f t="shared" si="104"/>
        <v>73.489322663162</v>
      </c>
      <c r="BL84" s="32">
        <f t="shared" ref="BL84:BL147" si="152">IF($B$31=0,BJ84,BG84)</f>
        <v>43.4550072222006</v>
      </c>
      <c r="BM84" s="31">
        <f t="shared" ref="BM84:BM147" si="153">IF($B$31=0,BK84,BH84)</f>
        <v>67.932627495897</v>
      </c>
      <c r="BO84">
        <f t="shared" ref="BO84:BO147" si="154">SUM((BL85&lt;0)*(BL84&gt;0))*O84</f>
        <v>0</v>
      </c>
      <c r="BP84">
        <f t="shared" ref="BP84:BP147" si="155">IF(BO84&gt;0,BM84,0)</f>
        <v>0</v>
      </c>
    </row>
    <row r="85" spans="14:68">
      <c r="N85" s="7">
        <v>67</v>
      </c>
      <c r="O85" s="18">
        <f t="shared" si="117"/>
        <v>46.7735141287198</v>
      </c>
      <c r="P85" s="86" t="str">
        <f t="shared" si="105"/>
        <v>54,5454545454545</v>
      </c>
      <c r="Q85" s="4" t="str">
        <f t="shared" si="106"/>
        <v>1+0,59846010099523i</v>
      </c>
      <c r="R85" s="4">
        <f t="shared" si="118"/>
        <v>1.1653988555354</v>
      </c>
      <c r="S85" s="4">
        <f t="shared" si="119"/>
        <v>0.539286452319522</v>
      </c>
      <c r="T85" s="4" t="str">
        <f t="shared" si="107"/>
        <v>1+0,00460814277766327i</v>
      </c>
      <c r="U85" s="4">
        <f t="shared" si="120"/>
        <v>1.00001061743356</v>
      </c>
      <c r="V85" s="4">
        <f t="shared" si="121"/>
        <v>0.00460811016013916</v>
      </c>
      <c r="W85" t="str">
        <f t="shared" si="108"/>
        <v>1-0,0132248995532428i</v>
      </c>
      <c r="X85" s="4">
        <f t="shared" si="122"/>
        <v>1.00008744516077</v>
      </c>
      <c r="Y85" s="4">
        <f t="shared" si="123"/>
        <v>-0.0132241286314536</v>
      </c>
      <c r="Z85" t="str">
        <f t="shared" si="109"/>
        <v>0,999999982140721+0,000913147826295337i</v>
      </c>
      <c r="AA85" s="4">
        <f t="shared" si="124"/>
        <v>1.00000039906012</v>
      </c>
      <c r="AB85" s="4">
        <f t="shared" si="125"/>
        <v>0.000913147588797537</v>
      </c>
      <c r="AC85" s="67" t="str">
        <f t="shared" si="126"/>
        <v>39,934496687959-24,4190185114985i</v>
      </c>
      <c r="AD85" s="68">
        <f t="shared" si="127"/>
        <v>33.406527820269</v>
      </c>
      <c r="AE85" s="31">
        <f t="shared" si="128"/>
        <v>-31.4448186640154</v>
      </c>
      <c r="AF85" s="32" t="str">
        <f t="shared" si="129"/>
        <v>432,040091031901</v>
      </c>
      <c r="AG85" s="32" t="str">
        <f t="shared" si="110"/>
        <v>1+0,487634156366483i</v>
      </c>
      <c r="AH85" s="32">
        <f t="shared" si="130"/>
        <v>1.11255879415663</v>
      </c>
      <c r="AI85" s="32">
        <f t="shared" si="131"/>
        <v>0.453706085878464</v>
      </c>
      <c r="AJ85" s="32" t="str">
        <f t="shared" si="111"/>
        <v>1+0,00460814277766327i</v>
      </c>
      <c r="AK85" s="32">
        <f t="shared" si="132"/>
        <v>1.00001061743356</v>
      </c>
      <c r="AL85" s="32">
        <f t="shared" si="133"/>
        <v>0.00460811016013916</v>
      </c>
      <c r="AM85" s="32" t="str">
        <f t="shared" si="112"/>
        <v>1-0,00136043086931836i</v>
      </c>
      <c r="AN85" s="32">
        <f t="shared" si="134"/>
        <v>1.00000092538565</v>
      </c>
      <c r="AO85" s="32">
        <f t="shared" si="135"/>
        <v>-0.00136043003003677</v>
      </c>
      <c r="AP85" s="30" t="str">
        <f t="shared" si="136"/>
        <v>349,597301255271-169,072443317086i</v>
      </c>
      <c r="AQ85" s="32">
        <f t="shared" si="137"/>
        <v>51.7841218186731</v>
      </c>
      <c r="AR85" s="31">
        <f t="shared" si="138"/>
        <v>-25.8093654955726</v>
      </c>
      <c r="AS85" t="str">
        <f t="shared" si="113"/>
        <v>-0,000201496259351621</v>
      </c>
      <c r="AT85" t="str">
        <f t="shared" si="114"/>
        <v>0,0000660363317691924i</v>
      </c>
      <c r="AU85">
        <f t="shared" si="139"/>
        <v>6.60363317691924e-5</v>
      </c>
      <c r="AV85">
        <f t="shared" si="140"/>
        <v>1.5707963267949</v>
      </c>
      <c r="AW85" t="str">
        <f t="shared" si="115"/>
        <v>1+0,00338093906395022i</v>
      </c>
      <c r="AX85">
        <f t="shared" si="141"/>
        <v>1.00000571535814</v>
      </c>
      <c r="AY85">
        <f t="shared" si="142"/>
        <v>0.00338092618181668</v>
      </c>
      <c r="AZ85" t="str">
        <f t="shared" si="116"/>
        <v>1+0,161637661206301i</v>
      </c>
      <c r="BA85">
        <f t="shared" si="143"/>
        <v>1.01297913775173</v>
      </c>
      <c r="BB85">
        <f t="shared" si="144"/>
        <v>0.160251636527181</v>
      </c>
      <c r="BC85" s="30" t="str">
        <f t="shared" si="145"/>
        <v>-0,482882258500628+3,05292654161578i</v>
      </c>
      <c r="BD85" s="32">
        <f t="shared" si="146"/>
        <v>9.80164132835492</v>
      </c>
      <c r="BE85" s="31">
        <f t="shared" si="147"/>
        <v>98.9880296320086</v>
      </c>
      <c r="BF85" s="30" t="str">
        <f t="shared" si="148"/>
        <v>55,2658097811933+133,708595673939i</v>
      </c>
      <c r="BG85" s="68">
        <f t="shared" si="149"/>
        <v>43.2081691486239</v>
      </c>
      <c r="BH85" s="31">
        <f t="shared" si="150"/>
        <v>67.5432109679933</v>
      </c>
      <c r="BI85" s="30" t="str">
        <f t="shared" si="103"/>
        <v>347,351415262692+1148,93696315864i</v>
      </c>
      <c r="BJ85" s="68">
        <f t="shared" si="151"/>
        <v>61.5857631470281</v>
      </c>
      <c r="BK85" s="31">
        <f t="shared" si="104"/>
        <v>73.178664136436</v>
      </c>
      <c r="BL85" s="32">
        <f t="shared" si="152"/>
        <v>43.2081691486239</v>
      </c>
      <c r="BM85" s="31">
        <f t="shared" si="153"/>
        <v>67.5432109679933</v>
      </c>
      <c r="BO85">
        <f t="shared" si="154"/>
        <v>0</v>
      </c>
      <c r="BP85">
        <f t="shared" si="155"/>
        <v>0</v>
      </c>
    </row>
    <row r="86" spans="14:68">
      <c r="N86" s="7">
        <v>68</v>
      </c>
      <c r="O86" s="18">
        <f t="shared" si="117"/>
        <v>47.8630092322639</v>
      </c>
      <c r="P86" s="86" t="str">
        <f t="shared" si="105"/>
        <v>54,5454545454545</v>
      </c>
      <c r="Q86" s="4" t="str">
        <f t="shared" si="106"/>
        <v>1+0,612400027508051i</v>
      </c>
      <c r="R86" s="4">
        <f t="shared" si="118"/>
        <v>1.17261834954595</v>
      </c>
      <c r="S86" s="4">
        <f t="shared" si="119"/>
        <v>0.549487311283591</v>
      </c>
      <c r="T86" s="4" t="str">
        <f t="shared" si="107"/>
        <v>1+0,004715480211812i</v>
      </c>
      <c r="U86" s="4">
        <f t="shared" si="120"/>
        <v>1.00001111781501</v>
      </c>
      <c r="V86" s="4">
        <f t="shared" si="121"/>
        <v>0.00471544526152621</v>
      </c>
      <c r="W86" t="str">
        <f t="shared" si="108"/>
        <v>1-0,0135329470364503i</v>
      </c>
      <c r="X86" s="4">
        <f t="shared" si="122"/>
        <v>1.00009156613557</v>
      </c>
      <c r="Y86" s="4">
        <f t="shared" si="123"/>
        <v>-0.0135321209829551</v>
      </c>
      <c r="Z86" t="str">
        <f t="shared" si="109"/>
        <v>0,99999998129904+0,000934417771564422i</v>
      </c>
      <c r="AA86" s="4">
        <f t="shared" si="124"/>
        <v>1.00000041786724</v>
      </c>
      <c r="AB86" s="4">
        <f t="shared" si="125"/>
        <v>0.000934417517080949</v>
      </c>
      <c r="AC86" s="67" t="str">
        <f t="shared" si="126"/>
        <v>39,433713863655-24,6811312317852i</v>
      </c>
      <c r="AD86" s="68">
        <f t="shared" si="127"/>
        <v>33.3529258215685</v>
      </c>
      <c r="AE86" s="31">
        <f t="shared" si="128"/>
        <v>-32.0420003207463</v>
      </c>
      <c r="AF86" s="32" t="str">
        <f t="shared" si="129"/>
        <v>432,040091031901</v>
      </c>
      <c r="AG86" s="32" t="str">
        <f t="shared" si="110"/>
        <v>1+0,49899261500656i</v>
      </c>
      <c r="AH86" s="32">
        <f t="shared" si="130"/>
        <v>1.11758383570589</v>
      </c>
      <c r="AI86" s="32">
        <f t="shared" si="131"/>
        <v>0.462841376305983</v>
      </c>
      <c r="AJ86" s="32" t="str">
        <f t="shared" si="111"/>
        <v>1+0,004715480211812i</v>
      </c>
      <c r="AK86" s="32">
        <f t="shared" si="132"/>
        <v>1.00001111781501</v>
      </c>
      <c r="AL86" s="32">
        <f t="shared" si="133"/>
        <v>0.00471544526152621</v>
      </c>
      <c r="AM86" s="32" t="str">
        <f t="shared" si="112"/>
        <v>1-0,00139211937505589i</v>
      </c>
      <c r="AN86" s="32">
        <f t="shared" si="134"/>
        <v>1.00000096899771</v>
      </c>
      <c r="AO86" s="32">
        <f t="shared" si="135"/>
        <v>-0.00139211847574951</v>
      </c>
      <c r="AP86" s="30" t="str">
        <f t="shared" si="136"/>
        <v>346,48646955314-171,458364388268i</v>
      </c>
      <c r="AQ86" s="32">
        <f t="shared" si="137"/>
        <v>51.7449837286949</v>
      </c>
      <c r="AR86" s="31">
        <f t="shared" si="138"/>
        <v>-26.3284448475914</v>
      </c>
      <c r="AS86" t="str">
        <f t="shared" si="113"/>
        <v>-0,000201496259351621</v>
      </c>
      <c r="AT86" t="str">
        <f t="shared" si="114"/>
        <v>0,0000675745155353417i</v>
      </c>
      <c r="AU86">
        <f t="shared" si="139"/>
        <v>6.75745155353417e-5</v>
      </c>
      <c r="AV86">
        <f t="shared" si="140"/>
        <v>1.5707963267949</v>
      </c>
      <c r="AW86" t="str">
        <f t="shared" si="115"/>
        <v>1+0,00345969125146852i</v>
      </c>
      <c r="AX86">
        <f t="shared" si="141"/>
        <v>1.00000598471387</v>
      </c>
      <c r="AY86">
        <f t="shared" si="142"/>
        <v>0.0034596774480182</v>
      </c>
      <c r="AZ86" t="str">
        <f t="shared" si="116"/>
        <v>1+0,165402686001058i</v>
      </c>
      <c r="BA86">
        <f t="shared" si="143"/>
        <v>1.01358672472382</v>
      </c>
      <c r="BB86">
        <f t="shared" si="144"/>
        <v>0.163918606881541</v>
      </c>
      <c r="BC86" s="30" t="str">
        <f t="shared" si="145"/>
        <v>-0,482881998368014+2,98350863885545i</v>
      </c>
      <c r="BD86" s="32">
        <f t="shared" si="146"/>
        <v>9.60684724145545</v>
      </c>
      <c r="BE86" s="31">
        <f t="shared" si="147"/>
        <v>99.1936194417284</v>
      </c>
      <c r="BF86" s="30" t="str">
        <f t="shared" si="148"/>
        <v>54,594537693202+129,568899945556i</v>
      </c>
      <c r="BG86" s="68">
        <f t="shared" si="149"/>
        <v>42.959773063024</v>
      </c>
      <c r="BH86" s="31">
        <f t="shared" si="150"/>
        <v>67.1516191209821</v>
      </c>
      <c r="BI86" s="30" t="str">
        <f t="shared" si="103"/>
        <v>344,235432531125+1116,53953279104i</v>
      </c>
      <c r="BJ86" s="68">
        <f t="shared" si="151"/>
        <v>61.3518309701504</v>
      </c>
      <c r="BK86" s="31">
        <f t="shared" si="104"/>
        <v>72.865174594137</v>
      </c>
      <c r="BL86" s="32">
        <f t="shared" si="152"/>
        <v>42.959773063024</v>
      </c>
      <c r="BM86" s="31">
        <f t="shared" si="153"/>
        <v>67.1516191209821</v>
      </c>
      <c r="BO86">
        <f t="shared" si="154"/>
        <v>0</v>
      </c>
      <c r="BP86">
        <f t="shared" si="155"/>
        <v>0</v>
      </c>
    </row>
    <row r="87" spans="14:68">
      <c r="N87" s="7">
        <v>69</v>
      </c>
      <c r="O87" s="18">
        <f t="shared" si="117"/>
        <v>48.9778819368446</v>
      </c>
      <c r="P87" s="86" t="str">
        <f t="shared" si="105"/>
        <v>54,5454545454545</v>
      </c>
      <c r="Q87" s="4" t="str">
        <f t="shared" si="106"/>
        <v>1+0,626664656621529i</v>
      </c>
      <c r="R87" s="4">
        <f t="shared" si="118"/>
        <v>1.180130752018</v>
      </c>
      <c r="S87" s="4">
        <f t="shared" si="119"/>
        <v>0.559795476299473</v>
      </c>
      <c r="T87" s="4" t="str">
        <f t="shared" si="107"/>
        <v>1+0,00482531785598578i</v>
      </c>
      <c r="U87" s="4">
        <f t="shared" si="120"/>
        <v>1.00001164177844</v>
      </c>
      <c r="V87" s="4">
        <f t="shared" si="121"/>
        <v>0.00482528040610338</v>
      </c>
      <c r="W87" t="str">
        <f t="shared" si="108"/>
        <v>1-0,0138481698673061i</v>
      </c>
      <c r="X87" s="4">
        <f t="shared" si="122"/>
        <v>1.00009588130772</v>
      </c>
      <c r="Y87" s="4">
        <f t="shared" si="123"/>
        <v>-0.013847284739622</v>
      </c>
      <c r="Z87" t="str">
        <f t="shared" si="109"/>
        <v>0,99999998041769+0,00095618315750447i</v>
      </c>
      <c r="AA87" s="4">
        <f t="shared" si="124"/>
        <v>1.00000043756071</v>
      </c>
      <c r="AB87" s="4">
        <f t="shared" si="125"/>
        <v>0.000956182884820523</v>
      </c>
      <c r="AC87" s="67" t="str">
        <f t="shared" si="126"/>
        <v>38,9223402096589-24,9355689707442i</v>
      </c>
      <c r="AD87" s="68">
        <f t="shared" si="127"/>
        <v>33.2974988486585</v>
      </c>
      <c r="AE87" s="31">
        <f t="shared" si="128"/>
        <v>-32.6456261972777</v>
      </c>
      <c r="AF87" s="32" t="str">
        <f t="shared" si="129"/>
        <v>432,040091031901</v>
      </c>
      <c r="AG87" s="32" t="str">
        <f t="shared" si="110"/>
        <v>1+0,51061564613606i</v>
      </c>
      <c r="AH87" s="32">
        <f t="shared" si="130"/>
        <v>1.12282159672806</v>
      </c>
      <c r="AI87" s="32">
        <f t="shared" si="131"/>
        <v>0.472104015385997</v>
      </c>
      <c r="AJ87" s="32" t="str">
        <f t="shared" si="111"/>
        <v>1+0,00482531785598578i</v>
      </c>
      <c r="AK87" s="32">
        <f t="shared" si="132"/>
        <v>1.00001164177844</v>
      </c>
      <c r="AL87" s="32">
        <f t="shared" si="133"/>
        <v>0.00482528040610338</v>
      </c>
      <c r="AM87" s="32" t="str">
        <f t="shared" si="112"/>
        <v>1-0,00142454600091295i</v>
      </c>
      <c r="AN87" s="32">
        <f t="shared" si="134"/>
        <v>1.00000101466514</v>
      </c>
      <c r="AO87" s="32">
        <f t="shared" si="135"/>
        <v>-0.00142454503728886</v>
      </c>
      <c r="AP87" s="30" t="str">
        <f t="shared" si="136"/>
        <v>343,28830398566-173,819109368745i</v>
      </c>
      <c r="AQ87" s="32">
        <f t="shared" si="137"/>
        <v>51.7043757619487</v>
      </c>
      <c r="AR87" s="31">
        <f t="shared" si="138"/>
        <v>-26.8547197889229</v>
      </c>
      <c r="AS87" t="str">
        <f t="shared" si="113"/>
        <v>-0,000201496259351621</v>
      </c>
      <c r="AT87" t="str">
        <f t="shared" si="114"/>
        <v>0,000069148528204082i</v>
      </c>
      <c r="AU87">
        <f t="shared" si="139"/>
        <v>6.9148528204082e-5</v>
      </c>
      <c r="AV87">
        <f t="shared" si="140"/>
        <v>1.5707963267949</v>
      </c>
      <c r="AW87" t="str">
        <f t="shared" si="115"/>
        <v>1+0,00354027781308276i</v>
      </c>
      <c r="AX87">
        <f t="shared" si="141"/>
        <v>1.00000626676386</v>
      </c>
      <c r="AY87">
        <f t="shared" si="142"/>
        <v>0.00354026302242427</v>
      </c>
      <c r="AZ87" t="str">
        <f t="shared" si="116"/>
        <v>1+0,169255409489297i</v>
      </c>
      <c r="BA87">
        <f t="shared" si="143"/>
        <v>1.01422255626731</v>
      </c>
      <c r="BB87">
        <f t="shared" si="144"/>
        <v>0.167666391966108</v>
      </c>
      <c r="BC87" s="30" t="str">
        <f t="shared" si="145"/>
        <v>-0,482881725976035+2,91567263178202i</v>
      </c>
      <c r="BD87" s="32">
        <f t="shared" si="146"/>
        <v>9.41229181550258</v>
      </c>
      <c r="BE87" s="31">
        <f t="shared" si="147"/>
        <v>99.403734496293</v>
      </c>
      <c r="BF87" s="30" t="str">
        <f t="shared" si="148"/>
        <v>53,9090691864453+125,525732696999i</v>
      </c>
      <c r="BG87" s="68">
        <f t="shared" si="149"/>
        <v>42.7097906641611</v>
      </c>
      <c r="BH87" s="31">
        <f t="shared" si="150"/>
        <v>66.7581082990153</v>
      </c>
      <c r="BI87" s="30" t="str">
        <f t="shared" si="103"/>
        <v>341,031971331194+1084,85038428145i</v>
      </c>
      <c r="BJ87" s="68">
        <f t="shared" si="151"/>
        <v>61.1166675774513</v>
      </c>
      <c r="BK87" s="31">
        <f t="shared" si="104"/>
        <v>72.5490147073701</v>
      </c>
      <c r="BL87" s="32">
        <f t="shared" si="152"/>
        <v>42.7097906641611</v>
      </c>
      <c r="BM87" s="31">
        <f t="shared" si="153"/>
        <v>66.7581082990153</v>
      </c>
      <c r="BO87">
        <f t="shared" si="154"/>
        <v>0</v>
      </c>
      <c r="BP87">
        <f t="shared" si="155"/>
        <v>0</v>
      </c>
    </row>
    <row r="88" spans="14:68">
      <c r="N88" s="7">
        <v>70</v>
      </c>
      <c r="O88" s="18">
        <f t="shared" si="117"/>
        <v>50.1187233627272</v>
      </c>
      <c r="P88" s="86" t="str">
        <f t="shared" si="105"/>
        <v>54,5454545454545</v>
      </c>
      <c r="Q88" s="4" t="str">
        <f t="shared" si="106"/>
        <v>1+0,641261551630836i</v>
      </c>
      <c r="R88" s="4">
        <f t="shared" si="118"/>
        <v>1.18794628565436</v>
      </c>
      <c r="S88" s="4">
        <f t="shared" si="119"/>
        <v>0.570207649893646</v>
      </c>
      <c r="T88" s="4" t="str">
        <f t="shared" si="107"/>
        <v>1+0,00493771394755745i</v>
      </c>
      <c r="U88" s="4">
        <f t="shared" si="120"/>
        <v>1.00001219043521</v>
      </c>
      <c r="V88" s="4">
        <f t="shared" si="121"/>
        <v>0.0049376738193119</v>
      </c>
      <c r="W88" t="str">
        <f t="shared" si="108"/>
        <v>1-0,0141707351811279i</v>
      </c>
      <c r="X88" s="4">
        <f t="shared" si="122"/>
        <v>1.00010039982772</v>
      </c>
      <c r="Y88" s="4">
        <f t="shared" si="123"/>
        <v>-0.014169786754869</v>
      </c>
      <c r="Z88" t="str">
        <f t="shared" si="109"/>
        <v>0,999999979494805+0,00097845552441121i</v>
      </c>
      <c r="AA88" s="4">
        <f t="shared" si="124"/>
        <v>1.00000045818231</v>
      </c>
      <c r="AB88" s="4">
        <f t="shared" si="125"/>
        <v>0.000978455232225103</v>
      </c>
      <c r="AC88" s="67" t="str">
        <f t="shared" si="126"/>
        <v>38,400595423207-25,181818259618i</v>
      </c>
      <c r="AD88" s="68">
        <f t="shared" si="127"/>
        <v>33.2402091475867</v>
      </c>
      <c r="AE88" s="31">
        <f t="shared" si="128"/>
        <v>-33.2555142474238</v>
      </c>
      <c r="AF88" s="32" t="str">
        <f t="shared" si="129"/>
        <v>432,040091031901</v>
      </c>
      <c r="AG88" s="32" t="str">
        <f t="shared" si="110"/>
        <v>1+0,522509412439941i</v>
      </c>
      <c r="AH88" s="32">
        <f t="shared" si="130"/>
        <v>1.12828014521586</v>
      </c>
      <c r="AI88" s="32">
        <f t="shared" si="131"/>
        <v>0.481492555753576</v>
      </c>
      <c r="AJ88" s="32" t="str">
        <f t="shared" si="111"/>
        <v>1+0,00493771394755745i</v>
      </c>
      <c r="AK88" s="32">
        <f t="shared" si="132"/>
        <v>1.00001219043521</v>
      </c>
      <c r="AL88" s="32">
        <f t="shared" si="133"/>
        <v>0.0049376738193119</v>
      </c>
      <c r="AM88" s="32" t="str">
        <f t="shared" si="112"/>
        <v>1-0,0014577279399158i</v>
      </c>
      <c r="AN88" s="32">
        <f t="shared" si="134"/>
        <v>1.00000106248481</v>
      </c>
      <c r="AO88" s="32">
        <f t="shared" si="135"/>
        <v>-0.00145772690737404</v>
      </c>
      <c r="AP88" s="30" t="str">
        <f t="shared" si="136"/>
        <v>340,00260877244-176,151069866203i</v>
      </c>
      <c r="AQ88" s="32">
        <f t="shared" si="137"/>
        <v>51.662257175785</v>
      </c>
      <c r="AR88" s="31">
        <f t="shared" si="138"/>
        <v>-27.3881050406637</v>
      </c>
      <c r="AS88" t="str">
        <f t="shared" si="113"/>
        <v>-0,000201496259351621</v>
      </c>
      <c r="AT88" t="str">
        <f t="shared" si="114"/>
        <v>0,0000707592043377651i</v>
      </c>
      <c r="AU88">
        <f t="shared" si="139"/>
        <v>7.07592043377651e-5</v>
      </c>
      <c r="AV88">
        <f t="shared" si="140"/>
        <v>1.5707963267949</v>
      </c>
      <c r="AW88" t="str">
        <f t="shared" si="115"/>
        <v>1+0,00362274147685463i</v>
      </c>
      <c r="AX88">
        <f t="shared" si="141"/>
        <v>1.00000656210637</v>
      </c>
      <c r="AY88">
        <f t="shared" si="142"/>
        <v>0.00362272562838414</v>
      </c>
      <c r="AZ88" t="str">
        <f t="shared" si="116"/>
        <v>1+0,173197874436007i</v>
      </c>
      <c r="BA88">
        <f t="shared" si="143"/>
        <v>1.01488792667425</v>
      </c>
      <c r="BB88">
        <f t="shared" si="144"/>
        <v>0.171496557565895</v>
      </c>
      <c r="BC88" s="30" t="str">
        <f t="shared" si="145"/>
        <v>-0,482881440746946+2,84938255284053i</v>
      </c>
      <c r="BD88" s="32">
        <f t="shared" si="146"/>
        <v>9.2179856715487</v>
      </c>
      <c r="BE88" s="31">
        <f t="shared" si="147"/>
        <v>99.6184620607079</v>
      </c>
      <c r="BF88" s="30" t="str">
        <f t="shared" si="148"/>
        <v>53,2096987542578+121,577819299406i</v>
      </c>
      <c r="BG88" s="68">
        <f t="shared" si="149"/>
        <v>42.4581948191354</v>
      </c>
      <c r="BH88" s="31">
        <f t="shared" si="150"/>
        <v>66.3629478132842</v>
      </c>
      <c r="BI88" s="30" t="str">
        <f t="shared" si="103"/>
        <v>337,740835559196+1053,85758376256i</v>
      </c>
      <c r="BJ88" s="68">
        <f t="shared" si="151"/>
        <v>60.8802428473337</v>
      </c>
      <c r="BK88" s="31">
        <f t="shared" si="104"/>
        <v>72.2303570200442</v>
      </c>
      <c r="BL88" s="32">
        <f t="shared" si="152"/>
        <v>42.4581948191354</v>
      </c>
      <c r="BM88" s="31">
        <f t="shared" si="153"/>
        <v>66.3629478132842</v>
      </c>
      <c r="BO88">
        <f t="shared" si="154"/>
        <v>0</v>
      </c>
      <c r="BP88">
        <f t="shared" si="155"/>
        <v>0</v>
      </c>
    </row>
    <row r="89" spans="14:68">
      <c r="N89" s="7">
        <v>71</v>
      </c>
      <c r="O89" s="18">
        <f t="shared" si="117"/>
        <v>51.2861383991365</v>
      </c>
      <c r="P89" s="86" t="str">
        <f t="shared" si="105"/>
        <v>54,5454545454545</v>
      </c>
      <c r="Q89" s="4" t="str">
        <f t="shared" si="106"/>
        <v>1+0,656198452002918i</v>
      </c>
      <c r="R89" s="4">
        <f t="shared" si="118"/>
        <v>1.19607541919857</v>
      </c>
      <c r="S89" s="4">
        <f t="shared" si="119"/>
        <v>0.580720321897271</v>
      </c>
      <c r="T89" s="4" t="str">
        <f t="shared" si="107"/>
        <v>1+0,00505272808042247i</v>
      </c>
      <c r="U89" s="4">
        <f t="shared" si="120"/>
        <v>1.00001276494906</v>
      </c>
      <c r="V89" s="4">
        <f t="shared" si="121"/>
        <v>0.00505268508226232</v>
      </c>
      <c r="W89" t="str">
        <f t="shared" si="108"/>
        <v>1-0,0145008140063145i</v>
      </c>
      <c r="X89" s="4">
        <f t="shared" si="122"/>
        <v>1.00010513127713</v>
      </c>
      <c r="Y89" s="4">
        <f t="shared" si="123"/>
        <v>-0.0144997977550381</v>
      </c>
      <c r="Z89" t="str">
        <f t="shared" si="109"/>
        <v>0,999999978528425+0,00100124668138838i</v>
      </c>
      <c r="AA89" s="4">
        <f t="shared" si="124"/>
        <v>1.00000047977577</v>
      </c>
      <c r="AB89" s="4">
        <f t="shared" si="125"/>
        <v>0.00100124636830533</v>
      </c>
      <c r="AC89" s="67" t="str">
        <f t="shared" si="126"/>
        <v>37,8687306245153-25,4193694553602i</v>
      </c>
      <c r="AD89" s="68">
        <f t="shared" si="127"/>
        <v>33.1810198182323</v>
      </c>
      <c r="AE89" s="31">
        <f t="shared" si="128"/>
        <v>-33.8714703980836</v>
      </c>
      <c r="AF89" s="32" t="str">
        <f t="shared" si="129"/>
        <v>432,040091031901</v>
      </c>
      <c r="AG89" s="32" t="str">
        <f t="shared" si="110"/>
        <v>1+0,534680220150525i</v>
      </c>
      <c r="AH89" s="32">
        <f t="shared" si="130"/>
        <v>1.13396778517743</v>
      </c>
      <c r="AI89" s="32">
        <f t="shared" si="131"/>
        <v>0.491005354052815</v>
      </c>
      <c r="AJ89" s="32" t="str">
        <f t="shared" si="111"/>
        <v>1+0,00505272808042247i</v>
      </c>
      <c r="AK89" s="32">
        <f t="shared" si="132"/>
        <v>1.00001276494906</v>
      </c>
      <c r="AL89" s="32">
        <f t="shared" si="133"/>
        <v>0.00505268508226232</v>
      </c>
      <c r="AM89" s="32" t="str">
        <f t="shared" si="112"/>
        <v>1-0,0014916827855677i</v>
      </c>
      <c r="AN89" s="32">
        <f t="shared" si="134"/>
        <v>1.00000111255815</v>
      </c>
      <c r="AO89" s="32">
        <f t="shared" si="135"/>
        <v>-0.00149168167917934</v>
      </c>
      <c r="AP89" s="30" t="str">
        <f t="shared" si="136"/>
        <v>336,629367882798-178,450550195349i</v>
      </c>
      <c r="AQ89" s="32">
        <f t="shared" si="137"/>
        <v>51.618587178302</v>
      </c>
      <c r="AR89" s="31">
        <f t="shared" si="138"/>
        <v>-27.9285040397247</v>
      </c>
      <c r="AS89" t="str">
        <f t="shared" si="113"/>
        <v>-0,000201496259351621</v>
      </c>
      <c r="AT89" t="str">
        <f t="shared" si="114"/>
        <v>0,0000724073979381971i</v>
      </c>
      <c r="AU89">
        <f t="shared" si="139"/>
        <v>7.24073979381971e-5</v>
      </c>
      <c r="AV89">
        <f t="shared" si="140"/>
        <v>1.5707963267949</v>
      </c>
      <c r="AW89" t="str">
        <f t="shared" si="115"/>
        <v>1+0,00370712596611017i</v>
      </c>
      <c r="AX89">
        <f t="shared" si="141"/>
        <v>1.00000687136786</v>
      </c>
      <c r="AY89">
        <f t="shared" si="142"/>
        <v>0.00370710898417438</v>
      </c>
      <c r="AZ89" t="str">
        <f t="shared" si="116"/>
        <v>1+0,177232171188288i</v>
      </c>
      <c r="BA89">
        <f t="shared" si="143"/>
        <v>1.01558418779741</v>
      </c>
      <c r="BB89">
        <f t="shared" si="144"/>
        <v>0.175410684746759</v>
      </c>
      <c r="BC89" s="30" t="str">
        <f t="shared" si="145"/>
        <v>-0,482881142075782+2,78460325414716i</v>
      </c>
      <c r="BD89" s="32">
        <f t="shared" si="146"/>
        <v>9.02393987338079</v>
      </c>
      <c r="BE89" s="31">
        <f t="shared" si="147"/>
        <v>99.8378902185008</v>
      </c>
      <c r="BF89" s="30" t="str">
        <f t="shared" si="148"/>
        <v>52,4967630108388+117,723924680898i</v>
      </c>
      <c r="BG89" s="68">
        <f t="shared" si="149"/>
        <v>42.2049596916131</v>
      </c>
      <c r="BH89" s="31">
        <f t="shared" si="150"/>
        <v>65.9664198204173</v>
      </c>
      <c r="BI89" s="30" t="str">
        <f t="shared" si="103"/>
        <v>334,362009158826+1023,54963873032i</v>
      </c>
      <c r="BJ89" s="68">
        <f t="shared" si="151"/>
        <v>60.6425270516827</v>
      </c>
      <c r="BK89" s="31">
        <f t="shared" si="104"/>
        <v>71.9093861787761</v>
      </c>
      <c r="BL89" s="32">
        <f t="shared" si="152"/>
        <v>42.2049596916131</v>
      </c>
      <c r="BM89" s="31">
        <f t="shared" si="153"/>
        <v>65.9664198204173</v>
      </c>
      <c r="BO89">
        <f t="shared" si="154"/>
        <v>0</v>
      </c>
      <c r="BP89">
        <f t="shared" si="155"/>
        <v>0</v>
      </c>
    </row>
    <row r="90" spans="14:68">
      <c r="N90" s="7">
        <v>72</v>
      </c>
      <c r="O90" s="18">
        <f t="shared" si="117"/>
        <v>52.4807460249773</v>
      </c>
      <c r="P90" s="86" t="str">
        <f t="shared" si="105"/>
        <v>54,5454545454545</v>
      </c>
      <c r="Q90" s="4" t="str">
        <f t="shared" si="106"/>
        <v>1+0,671483277480066i</v>
      </c>
      <c r="R90" s="4">
        <f t="shared" si="118"/>
        <v>1.20452886720716</v>
      </c>
      <c r="S90" s="4">
        <f t="shared" si="119"/>
        <v>0.591329771495373</v>
      </c>
      <c r="T90" s="4" t="str">
        <f t="shared" si="107"/>
        <v>1+0,00517042123659651i</v>
      </c>
      <c r="U90" s="4">
        <f t="shared" si="120"/>
        <v>1.00001336653855</v>
      </c>
      <c r="V90" s="4">
        <f t="shared" si="121"/>
        <v>0.00517037516327108</v>
      </c>
      <c r="W90" t="str">
        <f t="shared" si="108"/>
        <v>1-0,0148385813550283i</v>
      </c>
      <c r="X90" s="4">
        <f t="shared" si="122"/>
        <v>1.00011008568889</v>
      </c>
      <c r="Y90" s="4">
        <f t="shared" si="123"/>
        <v>-0.0148374924286403</v>
      </c>
      <c r="Z90" t="str">
        <f t="shared" si="109"/>
        <v>0,9999999775165+0,00102456871260909i</v>
      </c>
      <c r="AA90" s="4">
        <f t="shared" si="124"/>
        <v>1.0000005023869</v>
      </c>
      <c r="AB90" s="4">
        <f t="shared" si="125"/>
        <v>0.00102456837713457</v>
      </c>
      <c r="AC90" s="67" t="str">
        <f t="shared" si="126"/>
        <v>37,3270286284814-25,6477189662172i</v>
      </c>
      <c r="AD90" s="68">
        <f t="shared" si="127"/>
        <v>33.119894928473</v>
      </c>
      <c r="AE90" s="31">
        <f t="shared" si="128"/>
        <v>-34.4932886703162</v>
      </c>
      <c r="AF90" s="32" t="str">
        <f t="shared" si="129"/>
        <v>432,040091031901</v>
      </c>
      <c r="AG90" s="32" t="str">
        <f t="shared" si="110"/>
        <v>1+0,547134522391164i</v>
      </c>
      <c r="AH90" s="32">
        <f t="shared" si="130"/>
        <v>1.13989305884026</v>
      </c>
      <c r="AI90" s="32">
        <f t="shared" si="131"/>
        <v>0.500640566497684</v>
      </c>
      <c r="AJ90" s="32" t="str">
        <f t="shared" si="111"/>
        <v>1+0,00517042123659651i</v>
      </c>
      <c r="AK90" s="32">
        <f t="shared" si="132"/>
        <v>1.00001336653855</v>
      </c>
      <c r="AL90" s="32">
        <f t="shared" si="133"/>
        <v>0.00517037516327108</v>
      </c>
      <c r="AM90" s="32" t="str">
        <f t="shared" si="112"/>
        <v>1-0,00152642854117726i</v>
      </c>
      <c r="AN90" s="32">
        <f t="shared" si="134"/>
        <v>1.00000116499137</v>
      </c>
      <c r="AO90" s="32">
        <f t="shared" si="135"/>
        <v>-0.00152642735566084</v>
      </c>
      <c r="AP90" s="30" t="str">
        <f t="shared" si="136"/>
        <v>333,168754926655-180,713776666606i</v>
      </c>
      <c r="AQ90" s="32">
        <f t="shared" si="137"/>
        <v>51.5733250144576</v>
      </c>
      <c r="AR90" s="31">
        <f t="shared" si="138"/>
        <v>-28.4758086832139</v>
      </c>
      <c r="AS90" t="str">
        <f t="shared" si="113"/>
        <v>-0,000201496259351621</v>
      </c>
      <c r="AT90" t="str">
        <f t="shared" si="114"/>
        <v>0,000074093982899441i</v>
      </c>
      <c r="AU90">
        <f t="shared" si="139"/>
        <v>7.4093982899441e-5</v>
      </c>
      <c r="AV90">
        <f t="shared" si="140"/>
        <v>1.5707963267949</v>
      </c>
      <c r="AW90" t="str">
        <f t="shared" si="115"/>
        <v>1+0,00379347602262256i</v>
      </c>
      <c r="AX90">
        <f t="shared" si="141"/>
        <v>1.00000719520428</v>
      </c>
      <c r="AY90">
        <f t="shared" si="142"/>
        <v>0.0037934578261576</v>
      </c>
      <c r="AZ90" t="str">
        <f t="shared" si="116"/>
        <v>1+0,181360438783678i</v>
      </c>
      <c r="BA90">
        <f t="shared" si="143"/>
        <v>1.016312751448</v>
      </c>
      <c r="BB90">
        <f t="shared" si="144"/>
        <v>0.179410368864225</v>
      </c>
      <c r="BC90" s="30" t="str">
        <f t="shared" si="145"/>
        <v>-0,482880829329076+2,72130038885333i</v>
      </c>
      <c r="BD90" s="32">
        <f t="shared" si="146"/>
        <v>8.83016594318295</v>
      </c>
      <c r="BE90" s="31">
        <f t="shared" si="147"/>
        <v>100.062107813606</v>
      </c>
      <c r="BF90" s="30" t="str">
        <f t="shared" si="148"/>
        <v>51,7706410554565+113,962849326232i</v>
      </c>
      <c r="BG90" s="68">
        <f t="shared" si="149"/>
        <v>41.9500608716559</v>
      </c>
      <c r="BH90" s="31">
        <f t="shared" si="150"/>
        <v>65.5688191432894</v>
      </c>
      <c r="BI90" s="30" t="str">
        <f t="shared" si="103"/>
        <v>330,89566602847+993,915480683646i</v>
      </c>
      <c r="BJ90" s="68">
        <f t="shared" si="151"/>
        <v>60.4034909576405</v>
      </c>
      <c r="BK90" s="31">
        <f t="shared" si="104"/>
        <v>71.5862991303917</v>
      </c>
      <c r="BL90" s="32">
        <f t="shared" si="152"/>
        <v>41.9500608716559</v>
      </c>
      <c r="BM90" s="31">
        <f t="shared" si="153"/>
        <v>65.5688191432894</v>
      </c>
      <c r="BO90">
        <f t="shared" si="154"/>
        <v>0</v>
      </c>
      <c r="BP90">
        <f t="shared" si="155"/>
        <v>0</v>
      </c>
    </row>
    <row r="91" spans="14:68">
      <c r="N91" s="7">
        <v>73</v>
      </c>
      <c r="O91" s="18">
        <f t="shared" si="117"/>
        <v>53.7031796370253</v>
      </c>
      <c r="P91" s="86" t="str">
        <f t="shared" si="105"/>
        <v>54,5454545454545</v>
      </c>
      <c r="Q91" s="4" t="str">
        <f t="shared" si="106"/>
        <v>1+0,687124132279063i</v>
      </c>
      <c r="R91" s="4">
        <f t="shared" si="118"/>
        <v>1.21331758957012</v>
      </c>
      <c r="S91" s="4">
        <f t="shared" si="119"/>
        <v>0.602032070215426</v>
      </c>
      <c r="T91" s="4" t="str">
        <f t="shared" si="107"/>
        <v>1+0,00529085581854879i</v>
      </c>
      <c r="U91" s="4">
        <f t="shared" si="120"/>
        <v>1.0000139964797</v>
      </c>
      <c r="V91" s="4">
        <f t="shared" si="121"/>
        <v>0.00529080645012845</v>
      </c>
      <c r="W91" t="str">
        <f t="shared" si="108"/>
        <v>1-0,0151842163159882i</v>
      </c>
      <c r="X91" s="4">
        <f t="shared" si="122"/>
        <v>1.00011527356857</v>
      </c>
      <c r="Y91" s="4">
        <f t="shared" si="123"/>
        <v>-0.0151830495176048</v>
      </c>
      <c r="Z91" t="str">
        <f t="shared" si="109"/>
        <v>0,999999976456886+0,001048433983723i</v>
      </c>
      <c r="AA91" s="4">
        <f t="shared" si="124"/>
        <v>1.00000052606366</v>
      </c>
      <c r="AB91" s="4">
        <f t="shared" si="125"/>
        <v>0.00104843362425559</v>
      </c>
      <c r="AC91" s="67" t="str">
        <f t="shared" si="126"/>
        <v>36,775804036442-25,8663715445632i</v>
      </c>
      <c r="AD91" s="68">
        <f t="shared" si="127"/>
        <v>33.056799629021</v>
      </c>
      <c r="AE91" s="31">
        <f t="shared" si="128"/>
        <v>-35.1207513543209</v>
      </c>
      <c r="AF91" s="32" t="str">
        <f t="shared" si="129"/>
        <v>432,040091031901</v>
      </c>
      <c r="AG91" s="32" t="str">
        <f t="shared" si="110"/>
        <v>1+0,559878922597755i</v>
      </c>
      <c r="AH91" s="32">
        <f t="shared" si="130"/>
        <v>1.14606474859374</v>
      </c>
      <c r="AI91" s="32">
        <f t="shared" si="131"/>
        <v>0.510396144958944</v>
      </c>
      <c r="AJ91" s="32" t="str">
        <f t="shared" si="111"/>
        <v>1+0,00529085581854879i</v>
      </c>
      <c r="AK91" s="32">
        <f t="shared" si="132"/>
        <v>1.0000139964797</v>
      </c>
      <c r="AL91" s="32">
        <f t="shared" si="133"/>
        <v>0.00529080645012845</v>
      </c>
      <c r="AM91" s="32" t="str">
        <f t="shared" si="112"/>
        <v>1-0,00156198362940402i</v>
      </c>
      <c r="AN91" s="32">
        <f t="shared" si="134"/>
        <v>1.00000121989569</v>
      </c>
      <c r="AO91" s="32">
        <f t="shared" si="135"/>
        <v>-0.00156198235910038</v>
      </c>
      <c r="AP91" s="30" t="str">
        <f t="shared" si="136"/>
        <v>329,621142607494-182,93690790848i</v>
      </c>
      <c r="AQ91" s="32">
        <f t="shared" si="137"/>
        <v>51.526430056696</v>
      </c>
      <c r="AR91" s="31">
        <f t="shared" si="138"/>
        <v>-29.0298991029322</v>
      </c>
      <c r="AS91" t="str">
        <f t="shared" si="113"/>
        <v>-0,000201496259351621</v>
      </c>
      <c r="AT91" t="str">
        <f t="shared" si="114"/>
        <v>0,000075819853471168i</v>
      </c>
      <c r="AU91">
        <f t="shared" si="139"/>
        <v>7.5819853471168e-5</v>
      </c>
      <c r="AV91">
        <f t="shared" si="140"/>
        <v>1.5707963267949</v>
      </c>
      <c r="AW91" t="str">
        <f t="shared" si="115"/>
        <v>1+0,00388183743033473i</v>
      </c>
      <c r="AX91">
        <f t="shared" si="141"/>
        <v>1.00000753430253</v>
      </c>
      <c r="AY91">
        <f t="shared" si="142"/>
        <v>0.00388181793247917</v>
      </c>
      <c r="AZ91" t="str">
        <f t="shared" si="116"/>
        <v>1+0,1855848660843i</v>
      </c>
      <c r="BA91">
        <f t="shared" si="143"/>
        <v>1.01707509187844</v>
      </c>
      <c r="BB91">
        <f t="shared" si="144"/>
        <v>0.183497218471946</v>
      </c>
      <c r="BC91" s="30" t="str">
        <f t="shared" si="145"/>
        <v>-0,482880501843506+2,65944039293447i</v>
      </c>
      <c r="BD91" s="32">
        <f t="shared" si="146"/>
        <v>8.63667587748747</v>
      </c>
      <c r="BE91" s="31">
        <f t="shared" si="147"/>
        <v>100.291204386463</v>
      </c>
      <c r="BF91" s="30" t="str">
        <f t="shared" si="148"/>
        <v>51,0317545954466+110,293425209466i</v>
      </c>
      <c r="BG91" s="68">
        <f t="shared" si="149"/>
        <v>41.6934755065085</v>
      </c>
      <c r="BH91" s="31">
        <f t="shared" si="150"/>
        <v>65.1704530321424</v>
      </c>
      <c r="BI91" s="30" t="str">
        <f t="shared" si="103"/>
        <v>327,342179489808+964,944446912129i</v>
      </c>
      <c r="BJ91" s="68">
        <f t="shared" si="151"/>
        <v>60.1631059341835</v>
      </c>
      <c r="BK91" s="31">
        <f t="shared" si="104"/>
        <v>71.2613052835311</v>
      </c>
      <c r="BL91" s="32">
        <f t="shared" si="152"/>
        <v>41.6934755065085</v>
      </c>
      <c r="BM91" s="31">
        <f t="shared" si="153"/>
        <v>65.1704530321424</v>
      </c>
      <c r="BO91">
        <f t="shared" si="154"/>
        <v>0</v>
      </c>
      <c r="BP91">
        <f t="shared" si="155"/>
        <v>0</v>
      </c>
    </row>
    <row r="92" spans="14:68">
      <c r="N92" s="7">
        <v>74</v>
      </c>
      <c r="O92" s="18">
        <f t="shared" si="117"/>
        <v>54.9540873857625</v>
      </c>
      <c r="P92" s="86" t="str">
        <f t="shared" si="105"/>
        <v>54,5454545454545</v>
      </c>
      <c r="Q92" s="4" t="str">
        <f t="shared" si="106"/>
        <v>1+0,70312930938816i</v>
      </c>
      <c r="R92" s="4">
        <f t="shared" si="118"/>
        <v>1.22245279079426</v>
      </c>
      <c r="S92" s="4">
        <f t="shared" si="119"/>
        <v>0.612823085880012</v>
      </c>
      <c r="T92" s="4" t="str">
        <f t="shared" si="107"/>
        <v>1+0,00541409568228884i</v>
      </c>
      <c r="U92" s="4">
        <f t="shared" si="120"/>
        <v>1.00001465610863</v>
      </c>
      <c r="V92" s="4">
        <f t="shared" si="121"/>
        <v>0.00541404278311525</v>
      </c>
      <c r="W92" t="str">
        <f t="shared" si="108"/>
        <v>1-0,0155379021494259i</v>
      </c>
      <c r="X92" s="4">
        <f t="shared" si="122"/>
        <v>1.00012070591664</v>
      </c>
      <c r="Y92" s="4">
        <f t="shared" si="123"/>
        <v>-0.0155366519105822</v>
      </c>
      <c r="Z92" t="str">
        <f t="shared" si="109"/>
        <v>0,999999975347333+0,00107285514841274i</v>
      </c>
      <c r="AA92" s="4">
        <f t="shared" si="124"/>
        <v>1.00000055085627</v>
      </c>
      <c r="AB92" s="4">
        <f t="shared" si="125"/>
        <v>0.00107285476323648</v>
      </c>
      <c r="AC92" s="67" t="str">
        <f t="shared" si="126"/>
        <v>36,2154031374849-26,0748426308869i</v>
      </c>
      <c r="AD92" s="68">
        <f t="shared" si="127"/>
        <v>32.9917002682598</v>
      </c>
      <c r="AE92" s="31">
        <f t="shared" si="128"/>
        <v>-35.7536292397363</v>
      </c>
      <c r="AF92" s="32" t="str">
        <f t="shared" si="129"/>
        <v>432,040091031901</v>
      </c>
      <c r="AG92" s="32" t="str">
        <f t="shared" si="110"/>
        <v>1+0,572920178019982i</v>
      </c>
      <c r="AH92" s="32">
        <f t="shared" si="130"/>
        <v>1.15249187866225</v>
      </c>
      <c r="AI92" s="32">
        <f t="shared" si="131"/>
        <v>0.520269833632556</v>
      </c>
      <c r="AJ92" s="32" t="str">
        <f t="shared" si="111"/>
        <v>1+0,00541409568228884i</v>
      </c>
      <c r="AK92" s="32">
        <f t="shared" si="132"/>
        <v>1.00001465610863</v>
      </c>
      <c r="AL92" s="32">
        <f t="shared" si="133"/>
        <v>0.00541404278311525</v>
      </c>
      <c r="AM92" s="32" t="str">
        <f t="shared" si="112"/>
        <v>1-0,0015983669020264i</v>
      </c>
      <c r="AN92" s="32">
        <f t="shared" si="134"/>
        <v>1.00000127738756</v>
      </c>
      <c r="AO92" s="32">
        <f t="shared" si="135"/>
        <v>-0.00159836554087162</v>
      </c>
      <c r="AP92" s="30" t="str">
        <f t="shared" si="136"/>
        <v>325,987111629048-185,116046217157i</v>
      </c>
      <c r="AQ92" s="32">
        <f t="shared" si="137"/>
        <v>51.4778618998562</v>
      </c>
      <c r="AR92" s="31">
        <f t="shared" si="138"/>
        <v>-29.5906434731544</v>
      </c>
      <c r="AS92" t="str">
        <f t="shared" si="113"/>
        <v>-0,000201496259351621</v>
      </c>
      <c r="AT92" t="str">
        <f t="shared" si="114"/>
        <v>0,0000775859247327999i</v>
      </c>
      <c r="AU92">
        <f t="shared" si="139"/>
        <v>7.75859247327999e-5</v>
      </c>
      <c r="AV92">
        <f t="shared" si="140"/>
        <v>1.5707963267949</v>
      </c>
      <c r="AW92" t="str">
        <f t="shared" si="115"/>
        <v>1+0,00397225703963466i</v>
      </c>
      <c r="AX92">
        <f t="shared" si="141"/>
        <v>1.00000788938187</v>
      </c>
      <c r="AY92">
        <f t="shared" si="142"/>
        <v>0.00397223614731492</v>
      </c>
      <c r="AZ92" t="str">
        <f t="shared" si="116"/>
        <v>1+0,189907692937427i</v>
      </c>
      <c r="BA92">
        <f t="shared" si="143"/>
        <v>1.01787274835159</v>
      </c>
      <c r="BB92">
        <f t="shared" si="144"/>
        <v>0.187672854123996</v>
      </c>
      <c r="BC92" s="30" t="str">
        <f t="shared" si="145"/>
        <v>-0,482880158924496+2,59899046739398i</v>
      </c>
      <c r="BD92" s="32">
        <f t="shared" si="146"/>
        <v>8.44348216339262</v>
      </c>
      <c r="BE92" s="31">
        <f t="shared" si="147"/>
        <v>100.525270104009</v>
      </c>
      <c r="BF92" s="30" t="str">
        <f t="shared" si="148"/>
        <v>50,2805678139298+106,714511680687i</v>
      </c>
      <c r="BG92" s="68">
        <f t="shared" si="149"/>
        <v>41.4351824316524</v>
      </c>
      <c r="BH92" s="31">
        <f t="shared" si="150"/>
        <v>64.7716408642726</v>
      </c>
      <c r="BI92" s="30" t="str">
        <f t="shared" si="103"/>
        <v>323,702131209282+936,626261434008i</v>
      </c>
      <c r="BJ92" s="68">
        <f t="shared" si="151"/>
        <v>59.9213440632488</v>
      </c>
      <c r="BK92" s="31">
        <f t="shared" si="104"/>
        <v>70.9346266308545</v>
      </c>
      <c r="BL92" s="32">
        <f t="shared" si="152"/>
        <v>41.4351824316524</v>
      </c>
      <c r="BM92" s="31">
        <f t="shared" si="153"/>
        <v>64.7716408642726</v>
      </c>
      <c r="BO92">
        <f t="shared" si="154"/>
        <v>0</v>
      </c>
      <c r="BP92">
        <f t="shared" si="155"/>
        <v>0</v>
      </c>
    </row>
    <row r="93" spans="14:68">
      <c r="N93" s="7">
        <v>75</v>
      </c>
      <c r="O93" s="18">
        <f t="shared" si="117"/>
        <v>56.2341325190349</v>
      </c>
      <c r="P93" s="86" t="str">
        <f t="shared" si="105"/>
        <v>54,5454545454545</v>
      </c>
      <c r="Q93" s="4" t="str">
        <f t="shared" si="106"/>
        <v>1+0,71950729496411i</v>
      </c>
      <c r="R93" s="4">
        <f t="shared" si="118"/>
        <v>1.2319459190673</v>
      </c>
      <c r="S93" s="4">
        <f t="shared" si="119"/>
        <v>0.623698487541162</v>
      </c>
      <c r="T93" s="4" t="str">
        <f t="shared" si="107"/>
        <v>1+0,00554020617122365i</v>
      </c>
      <c r="U93" s="4">
        <f t="shared" si="120"/>
        <v>1.00001534682445</v>
      </c>
      <c r="V93" s="4">
        <f t="shared" si="121"/>
        <v>0.0055401494887849</v>
      </c>
      <c r="W93" t="str">
        <f t="shared" si="108"/>
        <v>1-0,0158998263842516i</v>
      </c>
      <c r="X93" s="4">
        <f t="shared" si="122"/>
        <v>1.00012639425177</v>
      </c>
      <c r="Y93" s="4">
        <f t="shared" si="123"/>
        <v>-0.0158984867383381</v>
      </c>
      <c r="Z93" t="str">
        <f t="shared" si="109"/>
        <v>0,999999974185488+0,00109784515510308i</v>
      </c>
      <c r="AA93" s="4">
        <f t="shared" si="124"/>
        <v>1.00000057681731</v>
      </c>
      <c r="AB93" s="4">
        <f t="shared" si="125"/>
        <v>0.00109784474237929</v>
      </c>
      <c r="AC93" s="67" t="str">
        <f t="shared" si="126"/>
        <v>35,6462036103782-26,2726607312725i</v>
      </c>
      <c r="AD93" s="68">
        <f t="shared" si="127"/>
        <v>32.9245645063762</v>
      </c>
      <c r="AE93" s="31">
        <f t="shared" si="128"/>
        <v>-36.3916819022729</v>
      </c>
      <c r="AF93" s="32" t="str">
        <f t="shared" si="129"/>
        <v>432,040091031901</v>
      </c>
      <c r="AG93" s="32" t="str">
        <f t="shared" si="110"/>
        <v>1+0,586265203304089i</v>
      </c>
      <c r="AH93" s="32">
        <f t="shared" si="130"/>
        <v>1.15918371650277</v>
      </c>
      <c r="AI93" s="32">
        <f t="shared" si="131"/>
        <v>0.530259166344196</v>
      </c>
      <c r="AJ93" s="32" t="str">
        <f t="shared" si="111"/>
        <v>1+0,00554020617122365i</v>
      </c>
      <c r="AK93" s="32">
        <f t="shared" si="132"/>
        <v>1.00001534682445</v>
      </c>
      <c r="AL93" s="32">
        <f t="shared" si="133"/>
        <v>0.0055401494887849</v>
      </c>
      <c r="AM93" s="32" t="str">
        <f t="shared" si="112"/>
        <v>1-0,00163559764993711i</v>
      </c>
      <c r="AN93" s="32">
        <f t="shared" si="134"/>
        <v>1.00000133758894</v>
      </c>
      <c r="AO93" s="32">
        <f t="shared" si="135"/>
        <v>-0.00163559619143359</v>
      </c>
      <c r="AP93" s="30" t="str">
        <f t="shared" si="136"/>
        <v>322,267458944291-187,247249915286i</v>
      </c>
      <c r="AQ93" s="32">
        <f t="shared" si="137"/>
        <v>51.4275804600845</v>
      </c>
      <c r="AR93" s="31">
        <f t="shared" si="138"/>
        <v>-30.1578978548258</v>
      </c>
      <c r="AS93" t="str">
        <f t="shared" si="113"/>
        <v>-0,000201496259351621</v>
      </c>
      <c r="AT93" t="str">
        <f t="shared" si="114"/>
        <v>0,000079393133078696i</v>
      </c>
      <c r="AU93">
        <f t="shared" si="139"/>
        <v>7.9393133078696e-5</v>
      </c>
      <c r="AV93">
        <f t="shared" si="140"/>
        <v>1.5707963267949</v>
      </c>
      <c r="AW93" t="str">
        <f t="shared" si="115"/>
        <v>1+0,00406478279219604i</v>
      </c>
      <c r="AX93">
        <f t="shared" si="141"/>
        <v>1.00000826119545</v>
      </c>
      <c r="AY93">
        <f t="shared" si="142"/>
        <v>0.00406476040568209</v>
      </c>
      <c r="AZ93" t="str">
        <f t="shared" si="116"/>
        <v>1+0,194331211363074i</v>
      </c>
      <c r="BA93">
        <f t="shared" si="143"/>
        <v>1.01870732779824</v>
      </c>
      <c r="BB93">
        <f t="shared" si="144"/>
        <v>0.191938907065039</v>
      </c>
      <c r="BC93" s="30" t="str">
        <f t="shared" si="145"/>
        <v>-0,482879799844732+2,53991856087256i</v>
      </c>
      <c r="BD93" s="32">
        <f t="shared" si="146"/>
        <v>8.25059779501946</v>
      </c>
      <c r="BE93" s="31">
        <f t="shared" si="147"/>
        <v>100.764395683203</v>
      </c>
      <c r="BF93" s="30" t="str">
        <f t="shared" si="148"/>
        <v>49,5175869702627+103,224991329947i</v>
      </c>
      <c r="BG93" s="68">
        <f t="shared" si="149"/>
        <v>41.1751623013956</v>
      </c>
      <c r="BH93" s="31">
        <f t="shared" si="150"/>
        <v>64.3727137809301</v>
      </c>
      <c r="BI93" s="30" t="str">
        <f t="shared" si="103"/>
        <v>319,976319460688+908,95101509841i</v>
      </c>
      <c r="BJ93" s="68">
        <f t="shared" si="151"/>
        <v>59.6781782551039</v>
      </c>
      <c r="BK93" s="31">
        <f t="shared" si="104"/>
        <v>70.6064978283773</v>
      </c>
      <c r="BL93" s="32">
        <f t="shared" si="152"/>
        <v>41.1751623013956</v>
      </c>
      <c r="BM93" s="31">
        <f t="shared" si="153"/>
        <v>64.3727137809301</v>
      </c>
      <c r="BO93">
        <f t="shared" si="154"/>
        <v>0</v>
      </c>
      <c r="BP93">
        <f t="shared" si="155"/>
        <v>0</v>
      </c>
    </row>
    <row r="94" spans="14:68">
      <c r="N94" s="7">
        <v>76</v>
      </c>
      <c r="O94" s="18">
        <f t="shared" si="117"/>
        <v>57.5439937337157</v>
      </c>
      <c r="P94" s="86" t="str">
        <f t="shared" si="105"/>
        <v>54,5454545454545</v>
      </c>
      <c r="Q94" s="4" t="str">
        <f t="shared" si="106"/>
        <v>1+0,736266772831656i</v>
      </c>
      <c r="R94" s="4">
        <f t="shared" si="118"/>
        <v>1.24180866512355</v>
      </c>
      <c r="S94" s="4">
        <f t="shared" si="119"/>
        <v>0.63465375140643</v>
      </c>
      <c r="T94" s="4" t="str">
        <f t="shared" si="107"/>
        <v>1+0,00566925415080376i</v>
      </c>
      <c r="U94" s="4">
        <f t="shared" si="120"/>
        <v>1.00001607009219</v>
      </c>
      <c r="V94" s="4">
        <f t="shared" si="121"/>
        <v>0.00566919341452909</v>
      </c>
      <c r="W94" t="str">
        <f t="shared" si="108"/>
        <v>1-0,0162701809174853i</v>
      </c>
      <c r="X94" s="4">
        <f t="shared" si="122"/>
        <v>1.0001323506352</v>
      </c>
      <c r="Y94" s="4">
        <f t="shared" si="123"/>
        <v>-0.0162687454712861</v>
      </c>
      <c r="Z94" t="str">
        <f t="shared" si="109"/>
        <v>0,999999972968888+0,00112341725382636i</v>
      </c>
      <c r="AA94" s="4">
        <f t="shared" si="124"/>
        <v>1.00000060400187</v>
      </c>
      <c r="AB94" s="4">
        <f t="shared" si="125"/>
        <v>0.00112341681158487</v>
      </c>
      <c r="AC94" s="67" t="str">
        <f t="shared" si="126"/>
        <v>35,0686140189762-26,4593698093158i</v>
      </c>
      <c r="AD94" s="68">
        <f t="shared" si="127"/>
        <v>32.855361428057</v>
      </c>
      <c r="AE94" s="31">
        <f t="shared" si="128"/>
        <v>-37.0346580472527</v>
      </c>
      <c r="AF94" s="32" t="str">
        <f t="shared" si="129"/>
        <v>432,040091031901</v>
      </c>
      <c r="AG94" s="32" t="str">
        <f t="shared" si="110"/>
        <v>1+0,599921074159127i</v>
      </c>
      <c r="AH94" s="32">
        <f t="shared" si="130"/>
        <v>1.16614977392282</v>
      </c>
      <c r="AI94" s="32">
        <f t="shared" si="131"/>
        <v>0.540361464543308</v>
      </c>
      <c r="AJ94" s="32" t="str">
        <f t="shared" si="111"/>
        <v>1+0,00566925415080376i</v>
      </c>
      <c r="AK94" s="32">
        <f t="shared" si="132"/>
        <v>1.00001607009219</v>
      </c>
      <c r="AL94" s="32">
        <f t="shared" si="133"/>
        <v>0.00566919341452909</v>
      </c>
      <c r="AM94" s="32" t="str">
        <f t="shared" si="112"/>
        <v>1-0,00167369561337152i</v>
      </c>
      <c r="AN94" s="32">
        <f t="shared" si="134"/>
        <v>1.00000140062752</v>
      </c>
      <c r="AO94" s="32">
        <f t="shared" si="135"/>
        <v>-0.00167369405055696</v>
      </c>
      <c r="AP94" s="30" t="str">
        <f t="shared" si="136"/>
        <v>318,463205233243-189,32654668945i</v>
      </c>
      <c r="AQ94" s="32">
        <f t="shared" si="137"/>
        <v>51.3755460774169</v>
      </c>
      <c r="AR94" s="31">
        <f t="shared" si="138"/>
        <v>-30.7315060792368</v>
      </c>
      <c r="AS94" t="str">
        <f t="shared" si="113"/>
        <v>-0,000201496259351621</v>
      </c>
      <c r="AT94" t="str">
        <f t="shared" si="114"/>
        <v>0,000081242436714643i</v>
      </c>
      <c r="AU94">
        <f t="shared" si="139"/>
        <v>8.1242436714643e-5</v>
      </c>
      <c r="AV94">
        <f t="shared" si="140"/>
        <v>1.5707963267949</v>
      </c>
      <c r="AW94" t="str">
        <f t="shared" si="115"/>
        <v>1+0,00415946374639761i</v>
      </c>
      <c r="AX94">
        <f t="shared" si="141"/>
        <v>1.00000865053191</v>
      </c>
      <c r="AY94">
        <f t="shared" si="142"/>
        <v>0.00415943975882694</v>
      </c>
      <c r="AZ94" t="str">
        <f t="shared" si="116"/>
        <v>1+0,198857766769264i</v>
      </c>
      <c r="BA94">
        <f t="shared" si="143"/>
        <v>1.019580507564</v>
      </c>
      <c r="BB94">
        <f t="shared" si="144"/>
        <v>0.196297017802283</v>
      </c>
      <c r="BC94" s="30" t="str">
        <f t="shared" si="145"/>
        <v>-0,482879423842631+2,4821933526543i</v>
      </c>
      <c r="BD94" s="32">
        <f t="shared" si="146"/>
        <v>8.05803629017985</v>
      </c>
      <c r="BE94" s="31">
        <f t="shared" si="147"/>
        <v>101.008672307756</v>
      </c>
      <c r="BF94" s="30" t="str">
        <f t="shared" si="148"/>
        <v>48,7433597236627+99,8237658534636i</v>
      </c>
      <c r="BG94" s="68">
        <f t="shared" si="149"/>
        <v>40.9133977182368</v>
      </c>
      <c r="BH94" s="31">
        <f t="shared" si="150"/>
        <v>63.9740142605028</v>
      </c>
      <c r="BI94" s="30" t="str">
        <f t="shared" si="103"/>
        <v>316,165766615441+881,909144878454i</v>
      </c>
      <c r="BJ94" s="68">
        <f t="shared" si="151"/>
        <v>59.4335823675967</v>
      </c>
      <c r="BK94" s="31">
        <f t="shared" si="104"/>
        <v>70.2771662285187</v>
      </c>
      <c r="BL94" s="32">
        <f t="shared" si="152"/>
        <v>40.9133977182368</v>
      </c>
      <c r="BM94" s="31">
        <f t="shared" si="153"/>
        <v>63.9740142605028</v>
      </c>
      <c r="BO94">
        <f t="shared" si="154"/>
        <v>0</v>
      </c>
      <c r="BP94">
        <f t="shared" si="155"/>
        <v>0</v>
      </c>
    </row>
    <row r="95" spans="14:68">
      <c r="N95" s="7">
        <v>77</v>
      </c>
      <c r="O95" s="18">
        <f t="shared" si="117"/>
        <v>58.8843655355589</v>
      </c>
      <c r="P95" s="86" t="str">
        <f t="shared" si="105"/>
        <v>54,5454545454545</v>
      </c>
      <c r="Q95" s="4" t="str">
        <f t="shared" si="106"/>
        <v>1+0,753416629087799i</v>
      </c>
      <c r="R95" s="4">
        <f t="shared" si="118"/>
        <v>1.25205296093497</v>
      </c>
      <c r="S95" s="4">
        <f t="shared" si="119"/>
        <v>0.645684167758488</v>
      </c>
      <c r="T95" s="4" t="str">
        <f t="shared" si="107"/>
        <v>1+0,00580130804397606i</v>
      </c>
      <c r="U95" s="4">
        <f t="shared" si="120"/>
        <v>1.00001682744593</v>
      </c>
      <c r="V95" s="4">
        <f t="shared" si="121"/>
        <v>0.00580124296394437</v>
      </c>
      <c r="W95" t="str">
        <f t="shared" si="108"/>
        <v>1-0,0166491621160027i</v>
      </c>
      <c r="X95" s="4">
        <f t="shared" si="122"/>
        <v>1.00013858769631</v>
      </c>
      <c r="Y95" s="4">
        <f t="shared" si="123"/>
        <v>-0.0166476240191995</v>
      </c>
      <c r="Z95" t="str">
        <f t="shared" si="109"/>
        <v>0,999999971694951+0,00114958500324781i</v>
      </c>
      <c r="AA95" s="4">
        <f t="shared" si="124"/>
        <v>1.00000063246759</v>
      </c>
      <c r="AB95" s="4">
        <f t="shared" si="125"/>
        <v>0.00114958452937753</v>
      </c>
      <c r="AC95" s="67" t="str">
        <f t="shared" si="126"/>
        <v>34,483073095983-26,6345316722176i</v>
      </c>
      <c r="AD95" s="68">
        <f t="shared" si="127"/>
        <v>32.7840616529945</v>
      </c>
      <c r="AE95" s="31">
        <f t="shared" si="128"/>
        <v>-37.682295910162</v>
      </c>
      <c r="AF95" s="32" t="str">
        <f t="shared" si="129"/>
        <v>432,040091031901</v>
      </c>
      <c r="AG95" s="32" t="str">
        <f t="shared" si="110"/>
        <v>1+0,613895031108577i</v>
      </c>
      <c r="AH95" s="32">
        <f t="shared" si="130"/>
        <v>1.17339980791706</v>
      </c>
      <c r="AI95" s="32">
        <f t="shared" si="131"/>
        <v>0.550573836038064</v>
      </c>
      <c r="AJ95" s="32" t="str">
        <f t="shared" si="111"/>
        <v>1+0,00580130804397606i</v>
      </c>
      <c r="AK95" s="32">
        <f t="shared" si="132"/>
        <v>1.00001682744593</v>
      </c>
      <c r="AL95" s="32">
        <f t="shared" si="133"/>
        <v>0.00580124296394437</v>
      </c>
      <c r="AM95" s="32" t="str">
        <f t="shared" si="112"/>
        <v>1-0,00171268099237411i</v>
      </c>
      <c r="AN95" s="32">
        <f t="shared" si="134"/>
        <v>1.00000146663702</v>
      </c>
      <c r="AO95" s="32">
        <f t="shared" si="135"/>
        <v>-0.00171267931778827</v>
      </c>
      <c r="AP95" s="30" t="str">
        <f t="shared" si="136"/>
        <v>314,575601495751-191,349947862663i</v>
      </c>
      <c r="AQ95" s="32">
        <f t="shared" si="137"/>
        <v>51.3217196216465</v>
      </c>
      <c r="AR95" s="31">
        <f t="shared" si="138"/>
        <v>-31.3112996741134</v>
      </c>
      <c r="AS95" t="str">
        <f t="shared" si="113"/>
        <v>-0,000201496259351621</v>
      </c>
      <c r="AT95" t="str">
        <f t="shared" si="114"/>
        <v>0,0000831348161659069i</v>
      </c>
      <c r="AU95">
        <f t="shared" si="139"/>
        <v>8.31348161659069e-5</v>
      </c>
      <c r="AV95">
        <f t="shared" si="140"/>
        <v>1.5707963267949</v>
      </c>
      <c r="AW95" t="str">
        <f t="shared" si="115"/>
        <v>1+0,00425635010333452i</v>
      </c>
      <c r="AX95">
        <f t="shared" si="141"/>
        <v>1.00000905821708</v>
      </c>
      <c r="AY95">
        <f t="shared" si="142"/>
        <v>0.00425632440020204</v>
      </c>
      <c r="AZ95" t="str">
        <f t="shared" si="116"/>
        <v>1+0,203489759195589i</v>
      </c>
      <c r="BA95">
        <f t="shared" si="143"/>
        <v>1.02049403824691</v>
      </c>
      <c r="BB95">
        <f t="shared" si="144"/>
        <v>0.200748834552949</v>
      </c>
      <c r="BC95" s="30" t="str">
        <f t="shared" si="145"/>
        <v>-0,482879030120726+2,42578423605989i</v>
      </c>
      <c r="BD95" s="32">
        <f t="shared" si="146"/>
        <v>7.86581170721929</v>
      </c>
      <c r="BE95" s="31">
        <f t="shared" si="147"/>
        <v>101.258191537684</v>
      </c>
      <c r="BF95" s="30" t="str">
        <f t="shared" si="148"/>
        <v>47,9584741731329+96,5097519487367i</v>
      </c>
      <c r="BG95" s="68">
        <f t="shared" si="149"/>
        <v>40.6498733602138</v>
      </c>
      <c r="BH95" s="31">
        <f t="shared" si="150"/>
        <v>63.575895627522</v>
      </c>
      <c r="BI95" s="30" t="str">
        <f t="shared" si="103"/>
        <v>312,271725746217+855,491412395025i</v>
      </c>
      <c r="BJ95" s="68">
        <f t="shared" si="151"/>
        <v>59.1875313288658</v>
      </c>
      <c r="BK95" s="31">
        <f t="shared" si="104"/>
        <v>69.9468918635706</v>
      </c>
      <c r="BL95" s="32">
        <f t="shared" si="152"/>
        <v>40.6498733602138</v>
      </c>
      <c r="BM95" s="31">
        <f t="shared" si="153"/>
        <v>63.575895627522</v>
      </c>
      <c r="BO95">
        <f t="shared" si="154"/>
        <v>0</v>
      </c>
      <c r="BP95">
        <f t="shared" si="155"/>
        <v>0</v>
      </c>
    </row>
    <row r="96" spans="14:68">
      <c r="N96" s="7">
        <v>78</v>
      </c>
      <c r="O96" s="18">
        <f t="shared" si="117"/>
        <v>60.2559586074358</v>
      </c>
      <c r="P96" s="86" t="str">
        <f t="shared" si="105"/>
        <v>54,5454545454545</v>
      </c>
      <c r="Q96" s="4" t="str">
        <f t="shared" si="106"/>
        <v>1+0,770965956813333i</v>
      </c>
      <c r="R96" s="4">
        <f t="shared" si="118"/>
        <v>1.26269097825442</v>
      </c>
      <c r="S96" s="4">
        <f t="shared" si="119"/>
        <v>0.656784848861462</v>
      </c>
      <c r="T96" s="4" t="str">
        <f t="shared" si="107"/>
        <v>1+0,00593643786746267i</v>
      </c>
      <c r="U96" s="4">
        <f t="shared" si="120"/>
        <v>1.00001762049204</v>
      </c>
      <c r="V96" s="4">
        <f t="shared" si="121"/>
        <v>0.00593636813301869</v>
      </c>
      <c r="W96" t="str">
        <f t="shared" si="108"/>
        <v>1-0,0170369709206518i</v>
      </c>
      <c r="X96" s="4">
        <f t="shared" si="122"/>
        <v>1.00014511865936</v>
      </c>
      <c r="Y96" s="4">
        <f t="shared" si="123"/>
        <v>-0.017035322833149</v>
      </c>
      <c r="Z96" t="str">
        <f t="shared" si="109"/>
        <v>0,999999970360975+0,00117636227785453i</v>
      </c>
      <c r="AA96" s="4">
        <f t="shared" si="124"/>
        <v>1.00000066227486</v>
      </c>
      <c r="AB96" s="4">
        <f t="shared" si="125"/>
        <v>0.0011763617700934</v>
      </c>
      <c r="AC96" s="67" t="str">
        <f t="shared" si="126"/>
        <v>33,8900488121676-26,7977283298258i</v>
      </c>
      <c r="AD96" s="68">
        <f t="shared" si="127"/>
        <v>32.7106374434312</v>
      </c>
      <c r="AE96" s="31">
        <f t="shared" si="128"/>
        <v>-38.3343237138307</v>
      </c>
      <c r="AF96" s="32" t="str">
        <f t="shared" si="129"/>
        <v>432,040091031901</v>
      </c>
      <c r="AG96" s="32" t="str">
        <f t="shared" si="110"/>
        <v>1+0,628194483329382i</v>
      </c>
      <c r="AH96" s="32">
        <f t="shared" si="130"/>
        <v>1.18094382122329</v>
      </c>
      <c r="AI96" s="32">
        <f t="shared" si="131"/>
        <v>0.560893174519953</v>
      </c>
      <c r="AJ96" s="32" t="str">
        <f t="shared" si="111"/>
        <v>1+0,00593643786746267i</v>
      </c>
      <c r="AK96" s="32">
        <f t="shared" si="132"/>
        <v>1.00001762049204</v>
      </c>
      <c r="AL96" s="32">
        <f t="shared" si="133"/>
        <v>0.00593636813301869</v>
      </c>
      <c r="AM96" s="32" t="str">
        <f t="shared" si="112"/>
        <v>1-0,00175257445750887i</v>
      </c>
      <c r="AN96" s="32">
        <f t="shared" si="134"/>
        <v>1.00000153575744</v>
      </c>
      <c r="AO96" s="32">
        <f t="shared" si="135"/>
        <v>-0.00175257266315796</v>
      </c>
      <c r="AP96" s="30" t="str">
        <f t="shared" si="136"/>
        <v>310,606134646334-193,313463544589i</v>
      </c>
      <c r="AQ96" s="32">
        <f t="shared" si="137"/>
        <v>51.2660626010359</v>
      </c>
      <c r="AR96" s="31">
        <f t="shared" si="138"/>
        <v>-31.8970978349191</v>
      </c>
      <c r="AS96" t="str">
        <f t="shared" si="113"/>
        <v>-0,000201496259351621</v>
      </c>
      <c r="AT96" t="str">
        <f t="shared" si="114"/>
        <v>0,0000850712747971213i</v>
      </c>
      <c r="AU96">
        <f t="shared" si="139"/>
        <v>8.50712747971213e-5</v>
      </c>
      <c r="AV96">
        <f t="shared" si="140"/>
        <v>1.5707963267949</v>
      </c>
      <c r="AW96" t="str">
        <f t="shared" si="115"/>
        <v>1+0,00435549323343568i</v>
      </c>
      <c r="AX96">
        <f t="shared" si="141"/>
        <v>1.00000948511567</v>
      </c>
      <c r="AY96">
        <f t="shared" si="142"/>
        <v>0.00435546569204713</v>
      </c>
      <c r="AZ96" t="str">
        <f t="shared" si="116"/>
        <v>1+0,208229644585744i</v>
      </c>
      <c r="BA96">
        <f t="shared" si="143"/>
        <v>1.02144974662697</v>
      </c>
      <c r="BB96">
        <f t="shared" si="144"/>
        <v>0.205296011560922</v>
      </c>
      <c r="BC96" s="30" t="str">
        <f t="shared" si="145"/>
        <v>-0,482878617843965+2,37066130221849i</v>
      </c>
      <c r="BD96" s="32">
        <f t="shared" si="146"/>
        <v>7.6739386619968</v>
      </c>
      <c r="BE96" s="31">
        <f t="shared" si="147"/>
        <v>101.513045211341</v>
      </c>
      <c r="BF96" s="30" t="str">
        <f t="shared" si="148"/>
        <v>47,1635576097982+93,2818772665658i</v>
      </c>
      <c r="BG96" s="68">
        <f t="shared" si="149"/>
        <v>40.384576105428</v>
      </c>
      <c r="BH96" s="31">
        <f t="shared" si="150"/>
        <v>63.1787214975108</v>
      </c>
      <c r="BI96" s="30" t="str">
        <f t="shared" si="103"/>
        <v>308,295686231104+829,688881724771i</v>
      </c>
      <c r="BJ96" s="68">
        <f t="shared" si="151"/>
        <v>58.9400012630327</v>
      </c>
      <c r="BK96" s="31">
        <f t="shared" si="104"/>
        <v>69.6159473764224</v>
      </c>
      <c r="BL96" s="32">
        <f t="shared" si="152"/>
        <v>40.384576105428</v>
      </c>
      <c r="BM96" s="31">
        <f t="shared" si="153"/>
        <v>63.1787214975108</v>
      </c>
      <c r="BO96">
        <f t="shared" si="154"/>
        <v>0</v>
      </c>
      <c r="BP96">
        <f t="shared" si="155"/>
        <v>0</v>
      </c>
    </row>
    <row r="97" spans="14:68">
      <c r="N97" s="7">
        <v>79</v>
      </c>
      <c r="O97" s="18">
        <f t="shared" si="117"/>
        <v>61.6595001861483</v>
      </c>
      <c r="P97" s="86" t="str">
        <f t="shared" si="105"/>
        <v>54,5454545454545</v>
      </c>
      <c r="Q97" s="4" t="str">
        <f t="shared" si="106"/>
        <v>1+0,788924060894111i</v>
      </c>
      <c r="R97" s="4">
        <f t="shared" si="118"/>
        <v>1.2737351270408</v>
      </c>
      <c r="S97" s="4">
        <f t="shared" si="119"/>
        <v>0.667950737838219</v>
      </c>
      <c r="T97" s="4" t="str">
        <f t="shared" si="107"/>
        <v>1+0,00607471526888466i</v>
      </c>
      <c r="U97" s="4">
        <f t="shared" si="120"/>
        <v>1.00001845091258</v>
      </c>
      <c r="V97" s="4">
        <f t="shared" si="121"/>
        <v>0.00607464054715615</v>
      </c>
      <c r="W97" t="str">
        <f t="shared" si="108"/>
        <v>1-0,017433812952794i</v>
      </c>
      <c r="X97" s="4">
        <f t="shared" si="122"/>
        <v>1.00015195737152</v>
      </c>
      <c r="Y97" s="4">
        <f t="shared" si="123"/>
        <v>-0.0174320470097088</v>
      </c>
      <c r="Z97" t="str">
        <f t="shared" si="109"/>
        <v>0,999999968964131+0,00120376327531197i</v>
      </c>
      <c r="AA97" s="4">
        <f t="shared" si="124"/>
        <v>1.0000006934869</v>
      </c>
      <c r="AB97" s="4">
        <f t="shared" si="125"/>
        <v>0.00120376273123613</v>
      </c>
      <c r="AC97" s="67" t="str">
        <f t="shared" si="126"/>
        <v>33,2900372305107-26,9485643046973i</v>
      </c>
      <c r="AD97" s="68">
        <f t="shared" si="127"/>
        <v>32.6350628079683</v>
      </c>
      <c r="AE97" s="31">
        <f t="shared" si="128"/>
        <v>-38.9904601813331</v>
      </c>
      <c r="AF97" s="32" t="str">
        <f t="shared" si="129"/>
        <v>432,040091031901</v>
      </c>
      <c r="AG97" s="32" t="str">
        <f t="shared" si="110"/>
        <v>1+0,642827012580387i</v>
      </c>
      <c r="AH97" s="32">
        <f t="shared" si="130"/>
        <v>1.18879206260095</v>
      </c>
      <c r="AI97" s="32">
        <f t="shared" si="131"/>
        <v>0.571316159923221</v>
      </c>
      <c r="AJ97" s="32" t="str">
        <f t="shared" si="111"/>
        <v>1+0,00607471526888466i</v>
      </c>
      <c r="AK97" s="32">
        <f t="shared" si="132"/>
        <v>1.00001845091258</v>
      </c>
      <c r="AL97" s="32">
        <f t="shared" si="133"/>
        <v>0.00607464054715615</v>
      </c>
      <c r="AM97" s="32" t="str">
        <f t="shared" si="112"/>
        <v>1-0,00179339716081908i</v>
      </c>
      <c r="AN97" s="32">
        <f t="shared" si="134"/>
        <v>1.0000016081354</v>
      </c>
      <c r="AO97" s="32">
        <f t="shared" si="135"/>
        <v>-0.00179339523813761</v>
      </c>
      <c r="AP97" s="30" t="str">
        <f t="shared" si="136"/>
        <v>306,556532001083-195,213118588115i</v>
      </c>
      <c r="AQ97" s="32">
        <f t="shared" si="137"/>
        <v>51.2085372733848</v>
      </c>
      <c r="AR97" s="31">
        <f t="shared" si="138"/>
        <v>-32.4887074439548</v>
      </c>
      <c r="AS97" t="str">
        <f t="shared" si="113"/>
        <v>-0,000201496259351621</v>
      </c>
      <c r="AT97" t="str">
        <f t="shared" si="114"/>
        <v>0,0000870528393442846i</v>
      </c>
      <c r="AU97">
        <f t="shared" si="139"/>
        <v>8.70528393442846e-5</v>
      </c>
      <c r="AV97">
        <f t="shared" si="140"/>
        <v>1.5707963267949</v>
      </c>
      <c r="AW97" t="str">
        <f t="shared" si="115"/>
        <v>1+0,00445694570370098i</v>
      </c>
      <c r="AX97">
        <f t="shared" si="141"/>
        <v>1.00000993213318</v>
      </c>
      <c r="AY97">
        <f t="shared" si="142"/>
        <v>0.00445691619258729</v>
      </c>
      <c r="AZ97" t="str">
        <f t="shared" si="116"/>
        <v>1+0,213079936089704i</v>
      </c>
      <c r="BA97">
        <f t="shared" si="143"/>
        <v>1.02244953868834</v>
      </c>
      <c r="BB97">
        <f t="shared" si="144"/>
        <v>0.209940207276109</v>
      </c>
      <c r="BC97" s="30" t="str">
        <f t="shared" si="145"/>
        <v>-0,482878186137955+2,31679532420964i</v>
      </c>
      <c r="BD97" s="32">
        <f t="shared" si="146"/>
        <v>7.48243234495851</v>
      </c>
      <c r="BE97" s="31">
        <f t="shared" si="147"/>
        <v>101.773325339544</v>
      </c>
      <c r="BF97" s="30" t="str">
        <f t="shared" si="148"/>
        <v>46,3592749809515+90,1390764488863i</v>
      </c>
      <c r="BG97" s="68">
        <f t="shared" si="149"/>
        <v>40.1174951529268</v>
      </c>
      <c r="BH97" s="31">
        <f t="shared" si="150"/>
        <v>62.7828651582109</v>
      </c>
      <c r="BI97" s="30" t="str">
        <f t="shared" si="103"/>
        <v>304,239378247902+804,492896560194i</v>
      </c>
      <c r="BJ97" s="68">
        <f t="shared" si="151"/>
        <v>58.6909696183433</v>
      </c>
      <c r="BK97" s="31">
        <f t="shared" si="104"/>
        <v>69.2846178955891</v>
      </c>
      <c r="BL97" s="32">
        <f t="shared" si="152"/>
        <v>40.1174951529268</v>
      </c>
      <c r="BM97" s="31">
        <f t="shared" si="153"/>
        <v>62.7828651582109</v>
      </c>
      <c r="BO97">
        <f t="shared" si="154"/>
        <v>0</v>
      </c>
      <c r="BP97">
        <f t="shared" si="155"/>
        <v>0</v>
      </c>
    </row>
    <row r="98" spans="14:68">
      <c r="N98" s="7">
        <v>80</v>
      </c>
      <c r="O98" s="18">
        <f t="shared" si="117"/>
        <v>63.0957344480194</v>
      </c>
      <c r="P98" s="86" t="str">
        <f t="shared" si="105"/>
        <v>54,5454545454545</v>
      </c>
      <c r="Q98" s="4" t="str">
        <f t="shared" si="106"/>
        <v>1+0,807300462954617i</v>
      </c>
      <c r="R98" s="4">
        <f t="shared" si="118"/>
        <v>1.28519805379822</v>
      </c>
      <c r="S98" s="4">
        <f t="shared" si="119"/>
        <v>0.679176618493619</v>
      </c>
      <c r="T98" s="4" t="str">
        <f t="shared" si="107"/>
        <v>1+0,00621621356475056i</v>
      </c>
      <c r="U98" s="4">
        <f t="shared" si="120"/>
        <v>1.0000193204689</v>
      </c>
      <c r="V98" s="4">
        <f t="shared" si="121"/>
        <v>0.00621613349905949</v>
      </c>
      <c r="W98" t="str">
        <f t="shared" si="108"/>
        <v>1-0,0178398986233275i</v>
      </c>
      <c r="X98" s="4">
        <f t="shared" si="122"/>
        <v>1.00015911833212</v>
      </c>
      <c r="Y98" s="4">
        <f t="shared" si="123"/>
        <v>-0.0178380063974783</v>
      </c>
      <c r="Z98" t="str">
        <f t="shared" si="109"/>
        <v>0,999999967501455+0,00123180252399166i</v>
      </c>
      <c r="AA98" s="4">
        <f t="shared" si="124"/>
        <v>1.00000072616992</v>
      </c>
      <c r="AB98" s="4">
        <f t="shared" si="125"/>
        <v>0.00123180194100392</v>
      </c>
      <c r="AC98" s="67" t="str">
        <f t="shared" si="126"/>
        <v>32,683561147279-27,0866688708496i</v>
      </c>
      <c r="AD98" s="68">
        <f t="shared" si="127"/>
        <v>32.5573136008661</v>
      </c>
      <c r="AE98" s="31">
        <f t="shared" si="128"/>
        <v>-39.6504151031837</v>
      </c>
      <c r="AF98" s="32" t="str">
        <f t="shared" si="129"/>
        <v>432,040091031901</v>
      </c>
      <c r="AG98" s="32" t="str">
        <f t="shared" si="110"/>
        <v>1+0,657800377222281i</v>
      </c>
      <c r="AH98" s="32">
        <f t="shared" si="130"/>
        <v>1.19695502683843</v>
      </c>
      <c r="AI98" s="32">
        <f t="shared" si="131"/>
        <v>0.581839259660189</v>
      </c>
      <c r="AJ98" s="32" t="str">
        <f t="shared" si="111"/>
        <v>1+0,00621621356475056i</v>
      </c>
      <c r="AK98" s="32">
        <f t="shared" si="132"/>
        <v>1.0000193204689</v>
      </c>
      <c r="AL98" s="32">
        <f t="shared" si="133"/>
        <v>0.00621613349905949</v>
      </c>
      <c r="AM98" s="32" t="str">
        <f t="shared" si="112"/>
        <v>1-0,00183517074704236i</v>
      </c>
      <c r="AN98" s="32">
        <f t="shared" si="134"/>
        <v>1.00000168392442</v>
      </c>
      <c r="AO98" s="32">
        <f t="shared" si="135"/>
        <v>-0.00183516868685223</v>
      </c>
      <c r="AP98" s="30" t="str">
        <f t="shared" si="136"/>
        <v>302,428764551126-197,044969266822i</v>
      </c>
      <c r="AQ98" s="32">
        <f t="shared" si="137"/>
        <v>51.1491067589116</v>
      </c>
      <c r="AR98" s="31">
        <f t="shared" si="138"/>
        <v>-33.0859231396105</v>
      </c>
      <c r="AS98" t="str">
        <f t="shared" si="113"/>
        <v>-0,000201496259351621</v>
      </c>
      <c r="AT98" t="str">
        <f t="shared" si="114"/>
        <v>0,0000890805604591487i</v>
      </c>
      <c r="AU98">
        <f t="shared" si="139"/>
        <v>8.90805604591487e-5</v>
      </c>
      <c r="AV98">
        <f t="shared" si="140"/>
        <v>1.5707963267949</v>
      </c>
      <c r="AW98" t="str">
        <f t="shared" si="115"/>
        <v>1+0,00456076130557302i</v>
      </c>
      <c r="AX98">
        <f t="shared" si="141"/>
        <v>1.00001040021776</v>
      </c>
      <c r="AY98">
        <f t="shared" si="142"/>
        <v>0.00456072968386274</v>
      </c>
      <c r="AZ98" t="str">
        <f t="shared" si="116"/>
        <v>1+0,218043205396225i</v>
      </c>
      <c r="BA98">
        <f t="shared" si="143"/>
        <v>1.02349540273489</v>
      </c>
      <c r="BB98">
        <f t="shared" si="144"/>
        <v>0.214683082389979</v>
      </c>
      <c r="BC98" s="30" t="str">
        <f t="shared" si="145"/>
        <v>-0,482877734087096+2,26415774156669i</v>
      </c>
      <c r="BD98" s="32">
        <f t="shared" si="146"/>
        <v>7.29130853825542</v>
      </c>
      <c r="BE98" s="31">
        <f t="shared" si="147"/>
        <v>102.03912399142</v>
      </c>
      <c r="BF98" s="30" t="str">
        <f t="shared" si="148"/>
        <v>45,5463270684925+87,0802872819034i</v>
      </c>
      <c r="BG98" s="68">
        <f t="shared" si="149"/>
        <v>39.8486221391215</v>
      </c>
      <c r="BH98" s="31">
        <f t="shared" si="150"/>
        <v>62.3887088882361</v>
      </c>
      <c r="BI98" s="30" t="str">
        <f t="shared" si="103"/>
        <v>300,104776053038+779,895056803706i</v>
      </c>
      <c r="BJ98" s="68">
        <f t="shared" si="151"/>
        <v>58.440415297167</v>
      </c>
      <c r="BK98" s="31">
        <f t="shared" si="104"/>
        <v>68.9532008518093</v>
      </c>
      <c r="BL98" s="32">
        <f t="shared" si="152"/>
        <v>39.8486221391215</v>
      </c>
      <c r="BM98" s="31">
        <f t="shared" si="153"/>
        <v>62.3887088882361</v>
      </c>
      <c r="BO98">
        <f t="shared" si="154"/>
        <v>0</v>
      </c>
      <c r="BP98">
        <f t="shared" si="155"/>
        <v>0</v>
      </c>
    </row>
    <row r="99" spans="14:68">
      <c r="N99" s="7">
        <v>81</v>
      </c>
      <c r="O99" s="18">
        <f t="shared" si="117"/>
        <v>64.5654229034656</v>
      </c>
      <c r="P99" s="86" t="str">
        <f t="shared" si="105"/>
        <v>54,5454545454545</v>
      </c>
      <c r="Q99" s="4" t="str">
        <f t="shared" si="106"/>
        <v>1+0,826104906406468i</v>
      </c>
      <c r="R99" s="4">
        <f t="shared" si="118"/>
        <v>1.2970926398638</v>
      </c>
      <c r="S99" s="4">
        <f t="shared" si="119"/>
        <v>0.690457126049448</v>
      </c>
      <c r="T99" s="4" t="str">
        <f t="shared" si="107"/>
        <v>1+0,00636100777932982i</v>
      </c>
      <c r="U99" s="4">
        <f t="shared" si="120"/>
        <v>1.00002023100534</v>
      </c>
      <c r="V99" s="4">
        <f t="shared" si="121"/>
        <v>0.00636092198748989</v>
      </c>
      <c r="W99" t="str">
        <f t="shared" si="108"/>
        <v>1-0,0182554432442501i</v>
      </c>
      <c r="X99" s="4">
        <f t="shared" si="122"/>
        <v>1.00016661672346</v>
      </c>
      <c r="Y99" s="4">
        <f t="shared" si="123"/>
        <v>-0.0182534157059649</v>
      </c>
      <c r="Z99" t="str">
        <f t="shared" si="109"/>
        <v>0,999999965969846+0,00126049489067441i</v>
      </c>
      <c r="AA99" s="4">
        <f t="shared" si="124"/>
        <v>1.00000076039324</v>
      </c>
      <c r="AB99" s="4">
        <f t="shared" si="125"/>
        <v>0.00126049426599182</v>
      </c>
      <c r="AC99" s="67" t="str">
        <f t="shared" si="126"/>
        <v>32,0711685246304-27,2116981987816i</v>
      </c>
      <c r="AD99" s="68">
        <f t="shared" si="127"/>
        <v>32.4773676160728</v>
      </c>
      <c r="AE99" s="31">
        <f t="shared" si="128"/>
        <v>-40.3138899568619</v>
      </c>
      <c r="AF99" s="32" t="str">
        <f t="shared" si="129"/>
        <v>432,040091031901</v>
      </c>
      <c r="AG99" s="32" t="str">
        <f t="shared" si="110"/>
        <v>1+0,673122516331196i</v>
      </c>
      <c r="AH99" s="32">
        <f t="shared" si="130"/>
        <v>1.20544345449799</v>
      </c>
      <c r="AI99" s="32">
        <f t="shared" si="131"/>
        <v>0.592458730768562</v>
      </c>
      <c r="AJ99" s="32" t="str">
        <f t="shared" si="111"/>
        <v>1+0,00636100777932982i</v>
      </c>
      <c r="AK99" s="32">
        <f t="shared" si="132"/>
        <v>1.00002023100534</v>
      </c>
      <c r="AL99" s="32">
        <f t="shared" si="133"/>
        <v>0.00636092198748989</v>
      </c>
      <c r="AM99" s="32" t="str">
        <f t="shared" si="112"/>
        <v>1-0,00187791736508708i</v>
      </c>
      <c r="AN99" s="32">
        <f t="shared" si="134"/>
        <v>1.00000176328526</v>
      </c>
      <c r="AO99" s="32">
        <f t="shared" si="135"/>
        <v>-0.0018779151575538</v>
      </c>
      <c r="AP99" s="30" t="str">
        <f t="shared" si="136"/>
        <v>298,225048923704-198,805120573844i</v>
      </c>
      <c r="AQ99" s="32">
        <f t="shared" si="137"/>
        <v>51.0877351543596</v>
      </c>
      <c r="AR99" s="31">
        <f t="shared" si="138"/>
        <v>-33.6885274378325</v>
      </c>
      <c r="AS99" t="str">
        <f t="shared" si="113"/>
        <v>-0,000201496259351621</v>
      </c>
      <c r="AT99" t="str">
        <f t="shared" si="114"/>
        <v>0,0000911555132662889i</v>
      </c>
      <c r="AU99">
        <f t="shared" si="139"/>
        <v>9.11555132662889e-5</v>
      </c>
      <c r="AV99">
        <f t="shared" si="140"/>
        <v>1.5707963267949</v>
      </c>
      <c r="AW99" t="str">
        <f t="shared" si="115"/>
        <v>1+0,00466699508345809i</v>
      </c>
      <c r="AX99">
        <f t="shared" si="141"/>
        <v>1.00001089036225</v>
      </c>
      <c r="AY99">
        <f t="shared" si="142"/>
        <v>0.00466696120020499</v>
      </c>
      <c r="AZ99" t="str">
        <f t="shared" si="116"/>
        <v>1+0,22312208409639i</v>
      </c>
      <c r="BA99">
        <f t="shared" si="143"/>
        <v>1.02458941259976</v>
      </c>
      <c r="BB99">
        <f t="shared" si="144"/>
        <v>0.219526297720768</v>
      </c>
      <c r="BC99" s="30" t="str">
        <f t="shared" si="145"/>
        <v>-0,482877260732641+2,21272064513363i</v>
      </c>
      <c r="BD99" s="32">
        <f t="shared" si="146"/>
        <v>7.10058363285168</v>
      </c>
      <c r="BE99" s="31">
        <f t="shared" si="147"/>
        <v>102.310533171609</v>
      </c>
      <c r="BF99" s="30" t="str">
        <f t="shared" si="148"/>
        <v>44,7254483879212+84,1044469941206i</v>
      </c>
      <c r="BG99" s="68">
        <f t="shared" si="149"/>
        <v>39.5779512489245</v>
      </c>
      <c r="BH99" s="31">
        <f t="shared" si="150"/>
        <v>61.9966432147475</v>
      </c>
      <c r="BI99" s="30" t="str">
        <f t="shared" si="103"/>
        <v>295,894099945889+755,887194691787i</v>
      </c>
      <c r="BJ99" s="68">
        <f t="shared" si="151"/>
        <v>58.1883187872112</v>
      </c>
      <c r="BK99" s="31">
        <f t="shared" si="104"/>
        <v>68.6220057337768</v>
      </c>
      <c r="BL99" s="32">
        <f t="shared" si="152"/>
        <v>39.5779512489245</v>
      </c>
      <c r="BM99" s="31">
        <f t="shared" si="153"/>
        <v>61.9966432147475</v>
      </c>
      <c r="BO99">
        <f t="shared" si="154"/>
        <v>0</v>
      </c>
      <c r="BP99">
        <f t="shared" si="155"/>
        <v>0</v>
      </c>
    </row>
    <row r="100" spans="14:68">
      <c r="N100" s="7">
        <v>82</v>
      </c>
      <c r="O100" s="18">
        <f t="shared" si="117"/>
        <v>66.0693448007596</v>
      </c>
      <c r="P100" s="86" t="str">
        <f t="shared" si="105"/>
        <v>54,5454545454545</v>
      </c>
      <c r="Q100" s="4" t="str">
        <f t="shared" si="106"/>
        <v>1+0,845347361614488i</v>
      </c>
      <c r="R100" s="4">
        <f t="shared" si="118"/>
        <v>1.309431999681</v>
      </c>
      <c r="S100" s="4">
        <f t="shared" si="119"/>
        <v>0.701786758747427</v>
      </c>
      <c r="T100" s="4" t="str">
        <f t="shared" si="107"/>
        <v>1+0,00650917468443157i</v>
      </c>
      <c r="U100" s="4">
        <f t="shared" si="120"/>
        <v>1.00002118445315</v>
      </c>
      <c r="V100" s="4">
        <f t="shared" si="121"/>
        <v>0.00650908275692403</v>
      </c>
      <c r="W100" t="str">
        <f t="shared" si="108"/>
        <v>1-0,0186806671428202i</v>
      </c>
      <c r="X100" s="4">
        <f t="shared" si="122"/>
        <v>1.00017446844283</v>
      </c>
      <c r="Y100" s="4">
        <f t="shared" si="123"/>
        <v>-0.018678494616873</v>
      </c>
      <c r="Z100" t="str">
        <f t="shared" si="109"/>
        <v>0,999999964366055+0,00128985558843282i</v>
      </c>
      <c r="AA100" s="4">
        <f t="shared" si="124"/>
        <v>1.00000079622946</v>
      </c>
      <c r="AB100" s="4">
        <f t="shared" si="125"/>
        <v>0.00128985491907339</v>
      </c>
      <c r="AC100" s="67" t="str">
        <f t="shared" si="126"/>
        <v>31,4534307220144-27,323337384606i</v>
      </c>
      <c r="AD100" s="68">
        <f t="shared" si="127"/>
        <v>32.3952046752454</v>
      </c>
      <c r="AE100" s="31">
        <f t="shared" si="128"/>
        <v>-40.9805785761719</v>
      </c>
      <c r="AF100" s="32" t="str">
        <f t="shared" si="129"/>
        <v>432,040091031901</v>
      </c>
      <c r="AG100" s="32" t="str">
        <f t="shared" si="110"/>
        <v>1+0,688801553908101i</v>
      </c>
      <c r="AH100" s="32">
        <f t="shared" si="130"/>
        <v>1.21426833141041</v>
      </c>
      <c r="AI100" s="32">
        <f t="shared" si="131"/>
        <v>0.603170623001039</v>
      </c>
      <c r="AJ100" s="32" t="str">
        <f t="shared" si="111"/>
        <v>1+0,00650917468443157i</v>
      </c>
      <c r="AK100" s="32">
        <f t="shared" si="132"/>
        <v>1.00002118445315</v>
      </c>
      <c r="AL100" s="32">
        <f t="shared" si="133"/>
        <v>0.00650908275692403</v>
      </c>
      <c r="AM100" s="32" t="str">
        <f t="shared" si="112"/>
        <v>1-0,00192165967977595i</v>
      </c>
      <c r="AN100" s="32">
        <f t="shared" si="134"/>
        <v>1.00000184638626</v>
      </c>
      <c r="AO100" s="32">
        <f t="shared" si="135"/>
        <v>-0.00192165731436166</v>
      </c>
      <c r="AP100" s="30" t="str">
        <f t="shared" si="136"/>
        <v>293,94784794035-200,489744029034i</v>
      </c>
      <c r="AQ100" s="32">
        <f t="shared" si="137"/>
        <v>51.0243876476953</v>
      </c>
      <c r="AR100" s="31">
        <f t="shared" si="138"/>
        <v>-34.2962909075463</v>
      </c>
      <c r="AS100" t="str">
        <f t="shared" si="113"/>
        <v>-0,000201496259351621</v>
      </c>
      <c r="AT100" t="str">
        <f t="shared" si="114"/>
        <v>0,0000932787979331487i</v>
      </c>
      <c r="AU100">
        <f t="shared" si="139"/>
        <v>9.32787979331487e-5</v>
      </c>
      <c r="AV100">
        <f t="shared" si="140"/>
        <v>1.5707963267949</v>
      </c>
      <c r="AW100" t="str">
        <f t="shared" si="115"/>
        <v>1+0,0047757033639114i</v>
      </c>
      <c r="AX100">
        <f t="shared" si="141"/>
        <v>1.00001140360629</v>
      </c>
      <c r="AY100">
        <f t="shared" si="142"/>
        <v>0.00477566705737394</v>
      </c>
      <c r="AZ100" t="str">
        <f t="shared" si="116"/>
        <v>1+0,228319265078913i</v>
      </c>
      <c r="BA100">
        <f t="shared" si="143"/>
        <v>1.02573373094881</v>
      </c>
      <c r="BB100">
        <f t="shared" si="144"/>
        <v>0.224471511941757</v>
      </c>
      <c r="BC100" s="30" t="str">
        <f t="shared" si="145"/>
        <v>-0,482876765070673+2,16245676226714i</v>
      </c>
      <c r="BD100" s="32">
        <f t="shared" si="146"/>
        <v>6.91027464556259</v>
      </c>
      <c r="BE100" s="31">
        <f t="shared" si="147"/>
        <v>102.587644688436</v>
      </c>
      <c r="BF100" s="30" t="str">
        <f t="shared" si="148"/>
        <v>43,8974048176269+81,2104887285342i</v>
      </c>
      <c r="BG100" s="68">
        <f t="shared" si="149"/>
        <v>39.305479320808</v>
      </c>
      <c r="BH100" s="31">
        <f t="shared" si="150"/>
        <v>61.6070661122641</v>
      </c>
      <c r="BI100" s="30" t="str">
        <f t="shared" si="103"/>
        <v>291,60981682787+732,46135055907i</v>
      </c>
      <c r="BJ100" s="68">
        <f t="shared" si="151"/>
        <v>57.9346622932578</v>
      </c>
      <c r="BK100" s="31">
        <f t="shared" si="104"/>
        <v>68.2913537808897</v>
      </c>
      <c r="BL100" s="32">
        <f t="shared" si="152"/>
        <v>39.305479320808</v>
      </c>
      <c r="BM100" s="31">
        <f t="shared" si="153"/>
        <v>61.6070661122641</v>
      </c>
      <c r="BO100">
        <f t="shared" si="154"/>
        <v>0</v>
      </c>
      <c r="BP100">
        <f t="shared" si="155"/>
        <v>0</v>
      </c>
    </row>
    <row r="101" spans="14:68">
      <c r="N101" s="7">
        <v>83</v>
      </c>
      <c r="O101" s="18">
        <f t="shared" si="117"/>
        <v>67.6082975391982</v>
      </c>
      <c r="P101" s="86" t="str">
        <f t="shared" si="105"/>
        <v>54,5454545454545</v>
      </c>
      <c r="Q101" s="4" t="str">
        <f t="shared" si="106"/>
        <v>1+0,86503803118313i</v>
      </c>
      <c r="R101" s="4">
        <f t="shared" si="118"/>
        <v>1.32222947909702</v>
      </c>
      <c r="S101" s="4">
        <f t="shared" si="119"/>
        <v>0.713159890267669</v>
      </c>
      <c r="T101" s="4" t="str">
        <f t="shared" si="107"/>
        <v>1+0,00666079284011011i</v>
      </c>
      <c r="U101" s="4">
        <f t="shared" si="120"/>
        <v>1.00002218283459</v>
      </c>
      <c r="V101" s="4">
        <f t="shared" si="121"/>
        <v>0.0066606943381291</v>
      </c>
      <c r="W101" t="str">
        <f t="shared" si="108"/>
        <v>1-0,0191157957783772i</v>
      </c>
      <c r="X101" s="4">
        <f t="shared" si="122"/>
        <v>1.00018269013628</v>
      </c>
      <c r="Y101" s="4">
        <f t="shared" si="123"/>
        <v>-0.019113467897848</v>
      </c>
      <c r="Z101" t="str">
        <f t="shared" si="109"/>
        <v>0,999999962686678+0,00131990018469748i</v>
      </c>
      <c r="AA101" s="4">
        <f t="shared" si="124"/>
        <v>1.00000083375458</v>
      </c>
      <c r="AB101" s="4">
        <f t="shared" si="125"/>
        <v>0.00131989946746596</v>
      </c>
      <c r="AC101" s="67" t="str">
        <f t="shared" si="126"/>
        <v>30,8309405362816-27,4213023417353i</v>
      </c>
      <c r="AD101" s="68">
        <f t="shared" si="127"/>
        <v>32.3108067090511</v>
      </c>
      <c r="AE101" s="31">
        <f t="shared" si="128"/>
        <v>-41.6501678674217</v>
      </c>
      <c r="AF101" s="32" t="str">
        <f t="shared" si="129"/>
        <v>432,040091031901</v>
      </c>
      <c r="AG101" s="32" t="str">
        <f t="shared" si="110"/>
        <v>1+0,704845803186254i</v>
      </c>
      <c r="AH101" s="32">
        <f t="shared" si="130"/>
        <v>1.22344088793422</v>
      </c>
      <c r="AI101" s="32">
        <f t="shared" si="131"/>
        <v>0.613970782881211</v>
      </c>
      <c r="AJ101" s="32" t="str">
        <f t="shared" si="111"/>
        <v>1+0,00666079284011011i</v>
      </c>
      <c r="AK101" s="32">
        <f t="shared" si="132"/>
        <v>1.00002218283459</v>
      </c>
      <c r="AL101" s="32">
        <f t="shared" si="133"/>
        <v>0.0066606943381291</v>
      </c>
      <c r="AM101" s="32" t="str">
        <f t="shared" si="112"/>
        <v>1-0,00196642088386321i</v>
      </c>
      <c r="AN101" s="32">
        <f t="shared" si="134"/>
        <v>1.00000193340368</v>
      </c>
      <c r="AO101" s="32">
        <f t="shared" si="135"/>
        <v>-0.00196641834927639</v>
      </c>
      <c r="AP101" s="30" t="str">
        <f t="shared" si="136"/>
        <v>289,599869692018-202,09509586839i</v>
      </c>
      <c r="AQ101" s="32">
        <f t="shared" si="137"/>
        <v>50.9590306327263</v>
      </c>
      <c r="AR101" s="31">
        <f t="shared" si="138"/>
        <v>-34.9089724014055</v>
      </c>
      <c r="AS101" t="str">
        <f t="shared" si="113"/>
        <v>-0,000201496259351621</v>
      </c>
      <c r="AT101" t="str">
        <f t="shared" si="114"/>
        <v>0,0000954515402533636i</v>
      </c>
      <c r="AU101">
        <f t="shared" si="139"/>
        <v>9.54515402533636e-5</v>
      </c>
      <c r="AV101">
        <f t="shared" si="140"/>
        <v>1.5707963267949</v>
      </c>
      <c r="AW101" t="str">
        <f t="shared" si="115"/>
        <v>1+0,00488694378550216i</v>
      </c>
      <c r="AX101">
        <f t="shared" si="141"/>
        <v>1.00001194103849</v>
      </c>
      <c r="AY101">
        <f t="shared" si="142"/>
        <v>0.00488690488237146</v>
      </c>
      <c r="AZ101" t="str">
        <f t="shared" si="116"/>
        <v>1+0,233637503957944i</v>
      </c>
      <c r="BA101">
        <f t="shared" si="143"/>
        <v>1.02693061267824</v>
      </c>
      <c r="BB101">
        <f t="shared" si="144"/>
        <v>0.229520379146161</v>
      </c>
      <c r="BC101" s="30" t="str">
        <f t="shared" si="145"/>
        <v>-0,482876246049969+2,11333944237635i</v>
      </c>
      <c r="BD101" s="32">
        <f t="shared" si="146"/>
        <v>6.72039923595713</v>
      </c>
      <c r="BE101" s="31">
        <f t="shared" si="147"/>
        <v>102.870550012676</v>
      </c>
      <c r="BF101" s="30" t="str">
        <f t="shared" si="148"/>
        <v>43,0629909717667+78,3973382174621i</v>
      </c>
      <c r="BG101" s="68">
        <f t="shared" si="149"/>
        <v>39.0312059450082</v>
      </c>
      <c r="BH101" s="31">
        <f t="shared" si="150"/>
        <v>61.220382145254</v>
      </c>
      <c r="BI101" s="30" t="str">
        <f t="shared" si="103"/>
        <v>287,254639276057+709,60974836523i</v>
      </c>
      <c r="BJ101" s="68">
        <f t="shared" si="151"/>
        <v>57.6794298686834</v>
      </c>
      <c r="BK101" s="31">
        <f t="shared" si="104"/>
        <v>67.9615776112701</v>
      </c>
      <c r="BL101" s="32">
        <f t="shared" si="152"/>
        <v>39.0312059450082</v>
      </c>
      <c r="BM101" s="31">
        <f t="shared" si="153"/>
        <v>61.220382145254</v>
      </c>
      <c r="BO101">
        <f t="shared" si="154"/>
        <v>0</v>
      </c>
      <c r="BP101">
        <f t="shared" si="155"/>
        <v>0</v>
      </c>
    </row>
    <row r="102" spans="14:68">
      <c r="N102" s="7">
        <v>84</v>
      </c>
      <c r="O102" s="18">
        <f t="shared" si="117"/>
        <v>69.1830970918937</v>
      </c>
      <c r="P102" s="86" t="str">
        <f t="shared" si="105"/>
        <v>54,5454545454545</v>
      </c>
      <c r="Q102" s="4" t="str">
        <f t="shared" si="106"/>
        <v>1+0,885187355366037i</v>
      </c>
      <c r="R102" s="4">
        <f t="shared" si="118"/>
        <v>1.33549865372449</v>
      </c>
      <c r="S102" s="4">
        <f t="shared" si="119"/>
        <v>0.724570782901118</v>
      </c>
      <c r="T102" s="4" t="str">
        <f t="shared" si="107"/>
        <v>1+0,0068159426363185i</v>
      </c>
      <c r="U102" s="4">
        <f t="shared" si="120"/>
        <v>1.00002322826723</v>
      </c>
      <c r="V102" s="4">
        <f t="shared" si="121"/>
        <v>0.00681583708967666</v>
      </c>
      <c r="W102" t="str">
        <f t="shared" si="108"/>
        <v>1-0,0195610598618834i</v>
      </c>
      <c r="X102" s="4">
        <f t="shared" si="122"/>
        <v>1.00019129923376</v>
      </c>
      <c r="Y102" s="4">
        <f t="shared" si="123"/>
        <v>-0.0195585655187219</v>
      </c>
      <c r="Z102" t="str">
        <f t="shared" si="109"/>
        <v>0,999999960928156+0,001350644609511i</v>
      </c>
      <c r="AA102" s="4">
        <f t="shared" si="124"/>
        <v>1.00000087304821</v>
      </c>
      <c r="AB102" s="4">
        <f t="shared" si="125"/>
        <v>0.00135064384098362</v>
      </c>
      <c r="AC102" s="67" t="str">
        <f t="shared" si="126"/>
        <v>30,204310063022-27,5053415345279i</v>
      </c>
      <c r="AD102" s="68">
        <f t="shared" si="127"/>
        <v>32.2241578310831</v>
      </c>
      <c r="AE102" s="31">
        <f t="shared" si="128"/>
        <v>-42.3223385689032</v>
      </c>
      <c r="AF102" s="32" t="str">
        <f t="shared" si="129"/>
        <v>432,040091031901</v>
      </c>
      <c r="AG102" s="32" t="str">
        <f t="shared" si="110"/>
        <v>1+0,721263771038993i</v>
      </c>
      <c r="AH102" s="32">
        <f t="shared" si="130"/>
        <v>1.23297259799778</v>
      </c>
      <c r="AI102" s="32">
        <f t="shared" si="131"/>
        <v>0.624854858742601</v>
      </c>
      <c r="AJ102" s="32" t="str">
        <f t="shared" si="111"/>
        <v>1+0,0068159426363185i</v>
      </c>
      <c r="AK102" s="32">
        <f t="shared" si="132"/>
        <v>1.00002322826723</v>
      </c>
      <c r="AL102" s="32">
        <f t="shared" si="133"/>
        <v>0.00681583708967666</v>
      </c>
      <c r="AM102" s="32" t="str">
        <f t="shared" si="112"/>
        <v>1-0,00201222471033175i</v>
      </c>
      <c r="AN102" s="32">
        <f t="shared" si="134"/>
        <v>1.00000202452209</v>
      </c>
      <c r="AO102" s="32">
        <f t="shared" si="135"/>
        <v>-0.00201222199447334</v>
      </c>
      <c r="AP102" s="30" t="str">
        <f t="shared" si="136"/>
        <v>285,184065063333-203,617535477775i</v>
      </c>
      <c r="AQ102" s="32">
        <f t="shared" si="137"/>
        <v>50.8916318229306</v>
      </c>
      <c r="AR102" s="31">
        <f t="shared" si="138"/>
        <v>-35.5263193428339</v>
      </c>
      <c r="AS102" t="str">
        <f t="shared" si="113"/>
        <v>-0,000201496259351621</v>
      </c>
      <c r="AT102" t="str">
        <f t="shared" si="114"/>
        <v>0,0000976748922436713i</v>
      </c>
      <c r="AU102">
        <f t="shared" si="139"/>
        <v>9.76748922436713e-5</v>
      </c>
      <c r="AV102">
        <f t="shared" si="140"/>
        <v>1.5707963267949</v>
      </c>
      <c r="AW102" t="str">
        <f t="shared" si="115"/>
        <v>1+0,00500077532937434i</v>
      </c>
      <c r="AX102">
        <f t="shared" si="141"/>
        <v>1.00001250379877</v>
      </c>
      <c r="AY102">
        <f t="shared" si="142"/>
        <v>0.00500073364394691</v>
      </c>
      <c r="AZ102" t="str">
        <f t="shared" si="116"/>
        <v>1+0,239079620534131i</v>
      </c>
      <c r="BA102">
        <f t="shared" si="143"/>
        <v>1.0281824084056</v>
      </c>
      <c r="BB102">
        <f t="shared" si="144"/>
        <v>0.234674546242204</v>
      </c>
      <c r="BC102" s="30" t="str">
        <f t="shared" si="145"/>
        <v>-0,482875702569767+2,06534264279211i</v>
      </c>
      <c r="BD102" s="32">
        <f t="shared" si="146"/>
        <v>6.53097572305039</v>
      </c>
      <c r="BE102" s="31">
        <f t="shared" si="147"/>
        <v>103.159340126559</v>
      </c>
      <c r="BF102" s="30" t="str">
        <f t="shared" si="148"/>
        <v>42,2230273335046+75,6639106871807i</v>
      </c>
      <c r="BG102" s="68">
        <f t="shared" si="149"/>
        <v>38.7551335541335</v>
      </c>
      <c r="BH102" s="31">
        <f t="shared" si="150"/>
        <v>60.8370015576555</v>
      </c>
      <c r="BI102" s="30" t="str">
        <f t="shared" si="103"/>
        <v>282,831523063325+687,324771119456i</v>
      </c>
      <c r="BJ102" s="68">
        <f t="shared" si="151"/>
        <v>57.422607545981</v>
      </c>
      <c r="BK102" s="31">
        <f t="shared" si="104"/>
        <v>67.6330207837248</v>
      </c>
      <c r="BL102" s="32">
        <f t="shared" si="152"/>
        <v>38.7551335541335</v>
      </c>
      <c r="BM102" s="31">
        <f t="shared" si="153"/>
        <v>60.8370015576555</v>
      </c>
      <c r="BO102">
        <f t="shared" si="154"/>
        <v>0</v>
      </c>
      <c r="BP102">
        <f t="shared" si="155"/>
        <v>0</v>
      </c>
    </row>
    <row r="103" spans="14:68">
      <c r="N103" s="7">
        <v>85</v>
      </c>
      <c r="O103" s="18">
        <f t="shared" si="117"/>
        <v>70.7945784384139</v>
      </c>
      <c r="P103" s="86" t="str">
        <f t="shared" si="105"/>
        <v>54,5454545454545</v>
      </c>
      <c r="Q103" s="4" t="str">
        <f t="shared" si="106"/>
        <v>1+0,905806017601601i</v>
      </c>
      <c r="R103" s="4">
        <f t="shared" si="118"/>
        <v>1.34925332740863</v>
      </c>
      <c r="S103" s="4">
        <f t="shared" si="119"/>
        <v>0.736013601406237</v>
      </c>
      <c r="T103" s="4" t="str">
        <f t="shared" si="107"/>
        <v>1+0,00697470633553234i</v>
      </c>
      <c r="U103" s="4">
        <f t="shared" si="120"/>
        <v>1.00002432296843</v>
      </c>
      <c r="V103" s="4">
        <f t="shared" si="121"/>
        <v>0.00697459324041657</v>
      </c>
      <c r="W103" t="str">
        <f t="shared" si="108"/>
        <v>1-0,0200166954782497i</v>
      </c>
      <c r="X103" s="4">
        <f t="shared" si="122"/>
        <v>1.00020031398609</v>
      </c>
      <c r="Y103" s="4">
        <f t="shared" si="123"/>
        <v>-0.0200140227703073</v>
      </c>
      <c r="Z103" t="str">
        <f t="shared" si="109"/>
        <v>0,999999959086756+0,00138210516397438i</v>
      </c>
      <c r="AA103" s="4">
        <f t="shared" si="124"/>
        <v>1.00000091419368</v>
      </c>
      <c r="AB103" s="4">
        <f t="shared" si="125"/>
        <v>0.0013821043404825</v>
      </c>
      <c r="AC103" s="67" t="str">
        <f t="shared" si="126"/>
        <v>29,5741683941499-27,5752375346085i</v>
      </c>
      <c r="AD103" s="68">
        <f t="shared" si="127"/>
        <v>32.135244403772</v>
      </c>
      <c r="AE103" s="31">
        <f t="shared" si="128"/>
        <v>-42.9967660496788</v>
      </c>
      <c r="AF103" s="32" t="str">
        <f t="shared" si="129"/>
        <v>432,040091031901</v>
      </c>
      <c r="AG103" s="32" t="str">
        <f t="shared" si="110"/>
        <v>1+0,738064162490193i</v>
      </c>
      <c r="AH103" s="32">
        <f t="shared" si="130"/>
        <v>1.24287517794521</v>
      </c>
      <c r="AI103" s="32">
        <f t="shared" si="131"/>
        <v>0.635818306759993</v>
      </c>
      <c r="AJ103" s="32" t="str">
        <f t="shared" si="111"/>
        <v>1+0,00697470633553234i</v>
      </c>
      <c r="AK103" s="32">
        <f t="shared" si="132"/>
        <v>1.00002432296843</v>
      </c>
      <c r="AL103" s="32">
        <f t="shared" si="133"/>
        <v>0.00697459324041657</v>
      </c>
      <c r="AM103" s="32" t="str">
        <f t="shared" si="112"/>
        <v>1-0,00205909544497665i</v>
      </c>
      <c r="AN103" s="32">
        <f t="shared" si="134"/>
        <v>1.00000211993478</v>
      </c>
      <c r="AO103" s="32">
        <f t="shared" si="135"/>
        <v>-0.00205909253488227</v>
      </c>
      <c r="AP103" s="30" t="str">
        <f t="shared" si="136"/>
        <v>280,703623652243-205,053543922222i</v>
      </c>
      <c r="AQ103" s="32">
        <f t="shared" si="137"/>
        <v>50.8221603637619</v>
      </c>
      <c r="AR103" s="31">
        <f t="shared" si="138"/>
        <v>-36.1480680698812</v>
      </c>
      <c r="AS103" t="str">
        <f t="shared" si="113"/>
        <v>-0,000201496259351621</v>
      </c>
      <c r="AT103" t="str">
        <f t="shared" si="114"/>
        <v>0,0000999500327547267i</v>
      </c>
      <c r="AU103">
        <f t="shared" si="139"/>
        <v>9.99500327547267e-5</v>
      </c>
      <c r="AV103">
        <f t="shared" si="140"/>
        <v>1.5707963267949</v>
      </c>
      <c r="AW103" t="str">
        <f t="shared" si="115"/>
        <v>1+0,00511725835051925i</v>
      </c>
      <c r="AX103">
        <f t="shared" si="141"/>
        <v>1.0000130930808</v>
      </c>
      <c r="AY103">
        <f t="shared" si="142"/>
        <v>0.00511721368381059</v>
      </c>
      <c r="AZ103" t="str">
        <f t="shared" si="116"/>
        <v>1+0,244648500289718i</v>
      </c>
      <c r="BA103">
        <f t="shared" si="143"/>
        <v>1.02949156805387</v>
      </c>
      <c r="BB103">
        <f t="shared" si="144"/>
        <v>0.239935650172148</v>
      </c>
      <c r="BC103" s="30" t="str">
        <f t="shared" si="145"/>
        <v>-0,482875133477442+2,01844091495889i</v>
      </c>
      <c r="BD103" s="32">
        <f t="shared" si="146"/>
        <v>6.34202310170822</v>
      </c>
      <c r="BE103" s="31">
        <f t="shared" si="147"/>
        <v>103.454105362643</v>
      </c>
      <c r="BF103" s="30" t="str">
        <f t="shared" si="148"/>
        <v>41,3783571687544+73,0091080178325i</v>
      </c>
      <c r="BG103" s="68">
        <f t="shared" si="149"/>
        <v>38.4772675054802</v>
      </c>
      <c r="BH103" s="31">
        <f t="shared" si="150"/>
        <v>60.4573393129638</v>
      </c>
      <c r="BI103" s="30" t="str">
        <f t="shared" si="103"/>
        <v>278,343663071254+665,598936348375i</v>
      </c>
      <c r="BJ103" s="68">
        <f t="shared" si="151"/>
        <v>57.1641834654702</v>
      </c>
      <c r="BK103" s="31">
        <f t="shared" si="104"/>
        <v>67.3060372927613</v>
      </c>
      <c r="BL103" s="32">
        <f t="shared" si="152"/>
        <v>38.4772675054802</v>
      </c>
      <c r="BM103" s="31">
        <f t="shared" si="153"/>
        <v>60.4573393129638</v>
      </c>
      <c r="BO103">
        <f t="shared" si="154"/>
        <v>0</v>
      </c>
      <c r="BP103">
        <f t="shared" si="155"/>
        <v>0</v>
      </c>
    </row>
    <row r="104" spans="14:68">
      <c r="N104" s="7">
        <v>86</v>
      </c>
      <c r="O104" s="18">
        <f t="shared" si="117"/>
        <v>72.443596007499</v>
      </c>
      <c r="P104" s="86" t="str">
        <f t="shared" si="105"/>
        <v>54,5454545454545</v>
      </c>
      <c r="Q104" s="4" t="str">
        <f t="shared" si="106"/>
        <v>1+0,926904950177453i</v>
      </c>
      <c r="R104" s="4">
        <f t="shared" si="118"/>
        <v>1.36350753084223</v>
      </c>
      <c r="S104" s="4">
        <f t="shared" si="119"/>
        <v>0.747482427472527</v>
      </c>
      <c r="T104" s="4" t="str">
        <f t="shared" si="107"/>
        <v>1+0,0071371681163664i</v>
      </c>
      <c r="U104" s="4">
        <f t="shared" si="120"/>
        <v>1.00002546926002</v>
      </c>
      <c r="V104" s="4">
        <f t="shared" si="121"/>
        <v>0.00713704693293321</v>
      </c>
      <c r="W104" t="str">
        <f t="shared" si="108"/>
        <v>1-0,0204829442115107i</v>
      </c>
      <c r="X104" s="4">
        <f t="shared" si="122"/>
        <v>1.00020975350352</v>
      </c>
      <c r="Y104" s="4">
        <f t="shared" si="123"/>
        <v>-0.0204800803857887</v>
      </c>
      <c r="Z104" t="str">
        <f t="shared" si="109"/>
        <v>0,999999957158575+0,00141429852889002i</v>
      </c>
      <c r="AA104" s="4">
        <f t="shared" si="124"/>
        <v>1.00000095727828</v>
      </c>
      <c r="AB104" s="4">
        <f t="shared" si="125"/>
        <v>0.00141429764650261</v>
      </c>
      <c r="AC104" s="67" t="str">
        <f t="shared" si="126"/>
        <v>28,9411591690928-27,630808382226i</v>
      </c>
      <c r="AD104" s="68">
        <f t="shared" si="127"/>
        <v>32.0440550957332</v>
      </c>
      <c r="AE104" s="31">
        <f t="shared" si="128"/>
        <v>-43.6731211432398</v>
      </c>
      <c r="AF104" s="32" t="str">
        <f t="shared" si="129"/>
        <v>432,040091031901</v>
      </c>
      <c r="AG104" s="32" t="str">
        <f t="shared" si="110"/>
        <v>1+0,755255885329776i</v>
      </c>
      <c r="AH104" s="32">
        <f t="shared" si="130"/>
        <v>1.25316058521056</v>
      </c>
      <c r="AI104" s="32">
        <f t="shared" si="131"/>
        <v>0.646856397973988</v>
      </c>
      <c r="AJ104" s="32" t="str">
        <f t="shared" si="111"/>
        <v>1+0,0071371681163664i</v>
      </c>
      <c r="AK104" s="32">
        <f t="shared" si="132"/>
        <v>1.00002546926002</v>
      </c>
      <c r="AL104" s="32">
        <f t="shared" si="133"/>
        <v>0.00713704693293321</v>
      </c>
      <c r="AM104" s="32" t="str">
        <f t="shared" si="112"/>
        <v>1-0,00210705793928182i</v>
      </c>
      <c r="AN104" s="32">
        <f t="shared" si="134"/>
        <v>1.00000221984412</v>
      </c>
      <c r="AO104" s="32">
        <f t="shared" si="135"/>
        <v>-0.00210705482105989</v>
      </c>
      <c r="AP104" s="30" t="str">
        <f t="shared" si="136"/>
        <v>276,16196804715-206,399742413055i</v>
      </c>
      <c r="AQ104" s="32">
        <f t="shared" si="137"/>
        <v>50.7505869426739</v>
      </c>
      <c r="AR104" s="31">
        <f t="shared" si="138"/>
        <v>-36.7739442359497</v>
      </c>
      <c r="AS104" t="str">
        <f t="shared" si="113"/>
        <v>-0,000201496259351621</v>
      </c>
      <c r="AT104" t="str">
        <f t="shared" si="114"/>
        <v>0,000102278168096144i</v>
      </c>
      <c r="AU104">
        <f t="shared" si="139"/>
        <v>0.000102278168096144</v>
      </c>
      <c r="AV104">
        <f t="shared" si="140"/>
        <v>1.5707963267949</v>
      </c>
      <c r="AW104" t="str">
        <f t="shared" si="115"/>
        <v>1+0,00523645460977651i</v>
      </c>
      <c r="AX104">
        <f t="shared" si="141"/>
        <v>1.00001371013446</v>
      </c>
      <c r="AY104">
        <f t="shared" si="142"/>
        <v>0.00523640674857132</v>
      </c>
      <c r="AZ104" t="str">
        <f t="shared" si="116"/>
        <v>1+0,250347095918464i</v>
      </c>
      <c r="BA104">
        <f t="shared" si="143"/>
        <v>1.03086064452709</v>
      </c>
      <c r="BB104">
        <f t="shared" si="144"/>
        <v>0.245305314949208</v>
      </c>
      <c r="BC104" s="30" t="str">
        <f t="shared" si="145"/>
        <v>-0,482874537566059+1,97260939094145i</v>
      </c>
      <c r="BD104" s="32">
        <f t="shared" si="146"/>
        <v>6.15356105867548</v>
      </c>
      <c r="BE104" s="31">
        <f t="shared" si="147"/>
        <v>103.75493523221</v>
      </c>
      <c r="BF104" s="30" t="str">
        <f t="shared" si="148"/>
        <v>40,5298432436813+70,4318161818275i</v>
      </c>
      <c r="BG104" s="68">
        <f t="shared" si="149"/>
        <v>38.1976161544087</v>
      </c>
      <c r="BH104" s="31">
        <f t="shared" si="150"/>
        <v>60.0818140889702</v>
      </c>
      <c r="BI104" s="30" t="str">
        <f t="shared" si="103"/>
        <v>273,794487557788+644,424871762138i</v>
      </c>
      <c r="BJ104" s="68">
        <f t="shared" si="151"/>
        <v>56.9041480013494</v>
      </c>
      <c r="BK104" s="31">
        <f t="shared" si="104"/>
        <v>66.9809909962603</v>
      </c>
      <c r="BL104" s="32">
        <f t="shared" si="152"/>
        <v>38.1976161544087</v>
      </c>
      <c r="BM104" s="31">
        <f t="shared" si="153"/>
        <v>60.0818140889702</v>
      </c>
      <c r="BO104">
        <f t="shared" si="154"/>
        <v>0</v>
      </c>
      <c r="BP104">
        <f t="shared" si="155"/>
        <v>0</v>
      </c>
    </row>
    <row r="105" spans="14:68">
      <c r="N105" s="7">
        <v>87</v>
      </c>
      <c r="O105" s="18">
        <f t="shared" si="117"/>
        <v>74.1310241300918</v>
      </c>
      <c r="P105" s="86" t="str">
        <f t="shared" si="105"/>
        <v>54,5454545454545</v>
      </c>
      <c r="Q105" s="4" t="str">
        <f t="shared" si="106"/>
        <v>1+0,94849534002693i</v>
      </c>
      <c r="R105" s="4">
        <f t="shared" si="118"/>
        <v>1.37827552037058</v>
      </c>
      <c r="S105" s="4">
        <f t="shared" si="119"/>
        <v>0.75897127470653</v>
      </c>
      <c r="T105" s="4" t="str">
        <f t="shared" si="107"/>
        <v>1+0,00730341411820737i</v>
      </c>
      <c r="U105" s="4">
        <f t="shared" si="120"/>
        <v>1.00002666957326</v>
      </c>
      <c r="V105" s="4">
        <f t="shared" si="121"/>
        <v>0.00730328426800626</v>
      </c>
      <c r="W105" t="str">
        <f t="shared" si="108"/>
        <v>1-0,0209600532729166i</v>
      </c>
      <c r="X105" s="4">
        <f t="shared" si="122"/>
        <v>1.00021963779622</v>
      </c>
      <c r="Y105" s="4">
        <f t="shared" si="123"/>
        <v>-0.0209569846647609</v>
      </c>
      <c r="Z105" t="str">
        <f t="shared" si="109"/>
        <v>0,99999995513952+0,00144724177360614i</v>
      </c>
      <c r="AA105" s="4">
        <f t="shared" si="124"/>
        <v>1.00000100239339</v>
      </c>
      <c r="AB105" s="4">
        <f t="shared" si="125"/>
        <v>0.00144724082811105</v>
      </c>
      <c r="AC105" s="67" t="str">
        <f t="shared" si="126"/>
        <v>28,3059379990763-27,6719087369739i</v>
      </c>
      <c r="AD105" s="68">
        <f t="shared" si="127"/>
        <v>31.9505809300567</v>
      </c>
      <c r="AE105" s="31">
        <f t="shared" si="128"/>
        <v>-44.3510710112084</v>
      </c>
      <c r="AF105" s="32" t="str">
        <f t="shared" si="129"/>
        <v>432,040091031901</v>
      </c>
      <c r="AG105" s="32" t="str">
        <f t="shared" si="110"/>
        <v>1+0,772848054836758i</v>
      </c>
      <c r="AH105" s="32">
        <f t="shared" si="130"/>
        <v>1.26384101684704</v>
      </c>
      <c r="AI105" s="32">
        <f t="shared" si="131"/>
        <v>0.657964226301077</v>
      </c>
      <c r="AJ105" s="32" t="str">
        <f t="shared" si="111"/>
        <v>1+0,00730341411820737i</v>
      </c>
      <c r="AK105" s="32">
        <f t="shared" si="132"/>
        <v>1.00002666957326</v>
      </c>
      <c r="AL105" s="32">
        <f t="shared" si="133"/>
        <v>0.00730328426800626</v>
      </c>
      <c r="AM105" s="32" t="str">
        <f t="shared" si="112"/>
        <v>1-0,00215613762359662i</v>
      </c>
      <c r="AN105" s="32">
        <f t="shared" si="134"/>
        <v>1.00000232446202</v>
      </c>
      <c r="AO105" s="32">
        <f t="shared" si="135"/>
        <v>-0.00215613428236204</v>
      </c>
      <c r="AP105" s="30" t="str">
        <f t="shared" si="136"/>
        <v>271,562746440932-207,652910547704i</v>
      </c>
      <c r="AQ105" s="32">
        <f t="shared" si="137"/>
        <v>50.6768838960922</v>
      </c>
      <c r="AR105" s="31">
        <f t="shared" si="138"/>
        <v>-37.403663266944</v>
      </c>
      <c r="AS105" t="str">
        <f t="shared" si="113"/>
        <v>-0,000201496259351621</v>
      </c>
      <c r="AT105" t="str">
        <f t="shared" si="114"/>
        <v>0,000104660532676097i</v>
      </c>
      <c r="AU105">
        <f t="shared" si="139"/>
        <v>0.000104660532676097</v>
      </c>
      <c r="AV105">
        <f t="shared" si="140"/>
        <v>1.5707963267949</v>
      </c>
      <c r="AW105" t="str">
        <f t="shared" si="115"/>
        <v>1+0,00535842730658056i</v>
      </c>
      <c r="AX105">
        <f t="shared" si="141"/>
        <v>1.00001435626855</v>
      </c>
      <c r="AY105">
        <f t="shared" si="142"/>
        <v>0.00535837602241499</v>
      </c>
      <c r="AZ105" t="str">
        <f t="shared" si="116"/>
        <v>1+0,256178428891202i</v>
      </c>
      <c r="BA105">
        <f t="shared" si="143"/>
        <v>1.03229229747643</v>
      </c>
      <c r="BB105">
        <f t="shared" si="144"/>
        <v>0.250785148506615</v>
      </c>
      <c r="BC105" s="30" t="str">
        <f t="shared" si="145"/>
        <v>-0,482873913571819+1,92782377023946i</v>
      </c>
      <c r="BD105" s="32">
        <f t="shared" si="146"/>
        <v>5.96560998813449</v>
      </c>
      <c r="BE105" s="31">
        <f t="shared" si="147"/>
        <v>104.061918242862</v>
      </c>
      <c r="BF105" s="30" t="str">
        <f t="shared" si="148"/>
        <v>39,6783643721+67,9309029813685i</v>
      </c>
      <c r="BG105" s="68">
        <f t="shared" si="149"/>
        <v>37.9161909181912</v>
      </c>
      <c r="BH105" s="31">
        <f t="shared" si="150"/>
        <v>59.7108472316538</v>
      </c>
      <c r="BI105" s="30" t="str">
        <f t="shared" si="103"/>
        <v>269,187650759028+623,795291281089i</v>
      </c>
      <c r="BJ105" s="68">
        <f t="shared" si="151"/>
        <v>56.6424938842267</v>
      </c>
      <c r="BK105" s="31">
        <f t="shared" si="104"/>
        <v>66.6582549759181</v>
      </c>
      <c r="BL105" s="32">
        <f t="shared" si="152"/>
        <v>37.9161909181912</v>
      </c>
      <c r="BM105" s="31">
        <f t="shared" si="153"/>
        <v>59.7108472316538</v>
      </c>
      <c r="BO105">
        <f t="shared" si="154"/>
        <v>0</v>
      </c>
      <c r="BP105">
        <f t="shared" si="155"/>
        <v>0</v>
      </c>
    </row>
    <row r="106" spans="14:68">
      <c r="N106" s="7">
        <v>88</v>
      </c>
      <c r="O106" s="18">
        <f t="shared" si="117"/>
        <v>75.8577575029184</v>
      </c>
      <c r="P106" s="86" t="str">
        <f t="shared" si="105"/>
        <v>54,5454545454545</v>
      </c>
      <c r="Q106" s="4" t="str">
        <f t="shared" si="106"/>
        <v>1+0,970588634660509i</v>
      </c>
      <c r="R106" s="4">
        <f t="shared" si="118"/>
        <v>1.39357177702914</v>
      </c>
      <c r="S106" s="4">
        <f t="shared" si="119"/>
        <v>0.770474104049883</v>
      </c>
      <c r="T106" s="4" t="str">
        <f t="shared" si="107"/>
        <v>1+0,00747353248688593i</v>
      </c>
      <c r="U106" s="4">
        <f t="shared" si="120"/>
        <v>1.00002792645397</v>
      </c>
      <c r="V106" s="4">
        <f t="shared" si="121"/>
        <v>0.0074733933500985</v>
      </c>
      <c r="W106" t="str">
        <f t="shared" si="108"/>
        <v>1-0,0214482756320068i</v>
      </c>
      <c r="X106" s="4">
        <f t="shared" si="122"/>
        <v>1.0002299878166</v>
      </c>
      <c r="Y106" s="4">
        <f t="shared" si="123"/>
        <v>-0.0214449875999595</v>
      </c>
      <c r="Z106" t="str">
        <f t="shared" si="109"/>
        <v>0,999999953025311+0,00148095236506714i</v>
      </c>
      <c r="AA106" s="4">
        <f t="shared" si="124"/>
        <v>1.00000104963472</v>
      </c>
      <c r="AB106" s="4">
        <f t="shared" si="125"/>
        <v>0.00148095135195096</v>
      </c>
      <c r="AC106" s="67" t="str">
        <f t="shared" si="126"/>
        <v>27,6691697858816-27,6984308044484i</v>
      </c>
      <c r="AD106" s="68">
        <f t="shared" si="127"/>
        <v>31.854815323121</v>
      </c>
      <c r="AE106" s="31">
        <f t="shared" si="128"/>
        <v>-45.030280031899</v>
      </c>
      <c r="AF106" s="32" t="str">
        <f t="shared" si="129"/>
        <v>432,040091031901</v>
      </c>
      <c r="AG106" s="32" t="str">
        <f t="shared" si="110"/>
        <v>1+0,790849998612267i</v>
      </c>
      <c r="AH106" s="32">
        <f t="shared" si="130"/>
        <v>1.27492890794155</v>
      </c>
      <c r="AI106" s="32">
        <f t="shared" si="131"/>
        <v>0.669136717512422</v>
      </c>
      <c r="AJ106" s="32" t="str">
        <f t="shared" si="111"/>
        <v>1+0,00747353248688593i</v>
      </c>
      <c r="AK106" s="32">
        <f t="shared" si="132"/>
        <v>1.00002792645397</v>
      </c>
      <c r="AL106" s="32">
        <f t="shared" si="133"/>
        <v>0.0074733933500985</v>
      </c>
      <c r="AM106" s="32" t="str">
        <f t="shared" si="112"/>
        <v>1-0,0022063605206193i</v>
      </c>
      <c r="AN106" s="32">
        <f t="shared" si="134"/>
        <v>1.00000243401041</v>
      </c>
      <c r="AO106" s="32">
        <f t="shared" si="135"/>
        <v>-0.00220635694042241</v>
      </c>
      <c r="AP106" s="30" t="str">
        <f t="shared" si="136"/>
        <v>266,909823579834-208,810004151925i</v>
      </c>
      <c r="AQ106" s="32">
        <f t="shared" si="137"/>
        <v>50.6010253125588</v>
      </c>
      <c r="AR106" s="31">
        <f t="shared" si="138"/>
        <v>-38.0369308738831</v>
      </c>
      <c r="AS106" t="str">
        <f t="shared" si="113"/>
        <v>-0,000201496259351621</v>
      </c>
      <c r="AT106" t="str">
        <f t="shared" si="114"/>
        <v>0,000107098389655821i</v>
      </c>
      <c r="AU106">
        <f t="shared" si="139"/>
        <v>0.000107098389655821</v>
      </c>
      <c r="AV106">
        <f t="shared" si="140"/>
        <v>1.5707963267949</v>
      </c>
      <c r="AW106" t="str">
        <f t="shared" si="115"/>
        <v>1+0,00548324111246972i</v>
      </c>
      <c r="AX106">
        <f t="shared" si="141"/>
        <v>1.00001503285356</v>
      </c>
      <c r="AY106">
        <f t="shared" si="142"/>
        <v>0.00548318616054088</v>
      </c>
      <c r="AZ106" t="str">
        <f t="shared" si="116"/>
        <v>1+0,262145591057861i</v>
      </c>
      <c r="BA106">
        <f t="shared" si="143"/>
        <v>1.03378929715444</v>
      </c>
      <c r="BB106">
        <f t="shared" si="144"/>
        <v>0.256376739353395</v>
      </c>
      <c r="BC106" s="30" t="str">
        <f t="shared" si="145"/>
        <v>-0,482873260171361+1,88406030690298i</v>
      </c>
      <c r="BD106" s="32">
        <f t="shared" si="146"/>
        <v>5.77819100669143</v>
      </c>
      <c r="BE106" s="31">
        <f t="shared" si="147"/>
        <v>104.375141704992</v>
      </c>
      <c r="BF106" s="30" t="str">
        <f t="shared" si="148"/>
        <v>38,8248118214164+65,5052161027136i</v>
      </c>
      <c r="BG106" s="68">
        <f t="shared" si="149"/>
        <v>37.6330063298124</v>
      </c>
      <c r="BH106" s="31">
        <f t="shared" si="150"/>
        <v>59.3448616730926</v>
      </c>
      <c r="BI106" s="30" t="str">
        <f t="shared" si="103"/>
        <v>264,527023823131+603,702971590478i</v>
      </c>
      <c r="BJ106" s="68">
        <f t="shared" si="151"/>
        <v>56.3792163192502</v>
      </c>
      <c r="BK106" s="31">
        <f t="shared" si="104"/>
        <v>66.3382108311085</v>
      </c>
      <c r="BL106" s="32">
        <f t="shared" si="152"/>
        <v>37.6330063298124</v>
      </c>
      <c r="BM106" s="31">
        <f t="shared" si="153"/>
        <v>59.3448616730926</v>
      </c>
      <c r="BO106">
        <f t="shared" si="154"/>
        <v>0</v>
      </c>
      <c r="BP106">
        <f t="shared" si="155"/>
        <v>0</v>
      </c>
    </row>
    <row r="107" spans="14:68">
      <c r="N107" s="7">
        <v>89</v>
      </c>
      <c r="O107" s="18">
        <f t="shared" si="117"/>
        <v>77.6247116628692</v>
      </c>
      <c r="P107" s="86" t="str">
        <f t="shared" si="105"/>
        <v>54,5454545454545</v>
      </c>
      <c r="Q107" s="4" t="str">
        <f t="shared" si="106"/>
        <v>1+0,993196548235445i</v>
      </c>
      <c r="R107" s="4">
        <f t="shared" si="118"/>
        <v>1.40941100585557</v>
      </c>
      <c r="S107" s="4">
        <f t="shared" si="119"/>
        <v>0.78198483953397</v>
      </c>
      <c r="T107" s="4" t="str">
        <f t="shared" si="107"/>
        <v>1+0,00764761342141294i</v>
      </c>
      <c r="U107" s="4">
        <f t="shared" si="120"/>
        <v>1.00002924256796</v>
      </c>
      <c r="V107" s="4">
        <f t="shared" si="121"/>
        <v>0.0076474643338946</v>
      </c>
      <c r="W107" t="str">
        <f t="shared" si="108"/>
        <v>1-0,0219478701507387i</v>
      </c>
      <c r="X107" s="4">
        <f t="shared" si="122"/>
        <v>1.00024082550362</v>
      </c>
      <c r="Y107" s="4">
        <f t="shared" si="123"/>
        <v>-0.0219443470067362</v>
      </c>
      <c r="Z107" t="str">
        <f t="shared" si="109"/>
        <v>0,999999950811462+0,00151544817707481i</v>
      </c>
      <c r="AA107" s="4">
        <f t="shared" si="124"/>
        <v>1.00000109910245</v>
      </c>
      <c r="AB107" s="4">
        <f t="shared" si="125"/>
        <v>0.00151544709150132</v>
      </c>
      <c r="AC107" s="67" t="str">
        <f t="shared" si="126"/>
        <v>27,0315259580316-27,7103050279191i</v>
      </c>
      <c r="AD107" s="68">
        <f t="shared" si="127"/>
        <v>31.7567541135909</v>
      </c>
      <c r="AE107" s="31">
        <f t="shared" si="128"/>
        <v>-45.7104107082774</v>
      </c>
      <c r="AF107" s="32" t="str">
        <f t="shared" si="129"/>
        <v>432,040091031901</v>
      </c>
      <c r="AG107" s="32" t="str">
        <f t="shared" si="110"/>
        <v>1+0,809271261525177i</v>
      </c>
      <c r="AH107" s="32">
        <f t="shared" si="130"/>
        <v>1.28643692994665</v>
      </c>
      <c r="AI107" s="32">
        <f t="shared" si="131"/>
        <v>0.680368639155452</v>
      </c>
      <c r="AJ107" s="32" t="str">
        <f t="shared" si="111"/>
        <v>1+0,00764761342141294i</v>
      </c>
      <c r="AK107" s="32">
        <f t="shared" si="132"/>
        <v>1.00002924256796</v>
      </c>
      <c r="AL107" s="32">
        <f t="shared" si="133"/>
        <v>0.0076474643338946</v>
      </c>
      <c r="AM107" s="32" t="str">
        <f t="shared" si="112"/>
        <v>1-0,00225775325919465i</v>
      </c>
      <c r="AN107" s="32">
        <f t="shared" si="134"/>
        <v>1.00000254872164</v>
      </c>
      <c r="AO107" s="32">
        <f t="shared" si="135"/>
        <v>-0.0022577494229451</v>
      </c>
      <c r="AP107" s="30" t="str">
        <f t="shared" si="136"/>
        <v>262,207270064797-209,868172551277i</v>
      </c>
      <c r="AQ107" s="32">
        <f t="shared" si="137"/>
        <v>50.5229871312744</v>
      </c>
      <c r="AR107" s="31">
        <f t="shared" si="138"/>
        <v>-38.6734436194905</v>
      </c>
      <c r="AS107" t="str">
        <f t="shared" si="113"/>
        <v>-0,000201496259351621</v>
      </c>
      <c r="AT107" t="str">
        <f t="shared" si="114"/>
        <v>0,000109593031619355i</v>
      </c>
      <c r="AU107">
        <f t="shared" si="139"/>
        <v>0.000109593031619355</v>
      </c>
      <c r="AV107">
        <f t="shared" si="140"/>
        <v>1.5707963267949</v>
      </c>
      <c r="AW107" t="str">
        <f t="shared" si="115"/>
        <v>1+0,005610962205376i</v>
      </c>
      <c r="AX107">
        <f t="shared" si="141"/>
        <v>1.00001574132454</v>
      </c>
      <c r="AY107">
        <f t="shared" si="142"/>
        <v>0.00561090332337344</v>
      </c>
      <c r="AZ107" t="str">
        <f t="shared" si="116"/>
        <v>1+0,268251746286805i</v>
      </c>
      <c r="BA107">
        <f t="shared" si="143"/>
        <v>1.03535452835535</v>
      </c>
      <c r="BB107">
        <f t="shared" si="144"/>
        <v>0.262081653031902</v>
      </c>
      <c r="BC107" s="30" t="str">
        <f t="shared" si="145"/>
        <v>-0,482872575978987+1,84129579694194i</v>
      </c>
      <c r="BD107" s="32">
        <f t="shared" si="146"/>
        <v>5.59132596768046</v>
      </c>
      <c r="BE107" s="31">
        <f t="shared" si="147"/>
        <v>104.694691526855</v>
      </c>
      <c r="BF107" s="30" t="str">
        <f t="shared" si="148"/>
        <v>37,970085607889+63,1535815014453i</v>
      </c>
      <c r="BG107" s="68">
        <f t="shared" si="149"/>
        <v>37.3480800812713</v>
      </c>
      <c r="BH107" s="31">
        <f t="shared" si="150"/>
        <v>58.9842808185774</v>
      </c>
      <c r="BI107" s="30" t="str">
        <f t="shared" si="103"/>
        <v>259,816684093946+584,140729393769i</v>
      </c>
      <c r="BJ107" s="68">
        <f t="shared" si="151"/>
        <v>56.1143130989548</v>
      </c>
      <c r="BK107" s="31">
        <f t="shared" si="104"/>
        <v>66.0212479073643</v>
      </c>
      <c r="BL107" s="32">
        <f t="shared" si="152"/>
        <v>37.3480800812713</v>
      </c>
      <c r="BM107" s="31">
        <f t="shared" si="153"/>
        <v>58.9842808185774</v>
      </c>
      <c r="BO107">
        <f t="shared" si="154"/>
        <v>0</v>
      </c>
      <c r="BP107">
        <f t="shared" si="155"/>
        <v>0</v>
      </c>
    </row>
    <row r="108" spans="14:68">
      <c r="N108" s="7">
        <v>90</v>
      </c>
      <c r="O108" s="18">
        <f t="shared" si="117"/>
        <v>79.4328234724282</v>
      </c>
      <c r="P108" s="86" t="str">
        <f t="shared" si="105"/>
        <v>54,5454545454545</v>
      </c>
      <c r="Q108" s="4" t="str">
        <f t="shared" si="106"/>
        <v>1+1,01633106776676i</v>
      </c>
      <c r="R108" s="4">
        <f t="shared" si="118"/>
        <v>1.42580813551751</v>
      </c>
      <c r="S108" s="4">
        <f t="shared" si="119"/>
        <v>0.793497384271697</v>
      </c>
      <c r="T108" s="4" t="str">
        <f t="shared" si="107"/>
        <v>1+0,0078257492218041i</v>
      </c>
      <c r="U108" s="4">
        <f t="shared" si="120"/>
        <v>1.00003062070663</v>
      </c>
      <c r="V108" s="4">
        <f t="shared" si="121"/>
        <v>0.00782558947191421</v>
      </c>
      <c r="W108" t="str">
        <f t="shared" si="108"/>
        <v>1-0,0224591017207388i</v>
      </c>
      <c r="X108" s="4">
        <f t="shared" si="122"/>
        <v>1.00025217382923</v>
      </c>
      <c r="Y108" s="4">
        <f t="shared" si="123"/>
        <v>-0.0224553266553259</v>
      </c>
      <c r="Z108" t="str">
        <f t="shared" si="109"/>
        <v>0,999999948493278+0,0015507474997653i</v>
      </c>
      <c r="AA108" s="4">
        <f t="shared" si="124"/>
        <v>1.00000115090152</v>
      </c>
      <c r="AB108" s="4">
        <f t="shared" si="125"/>
        <v>0.00155074633655243</v>
      </c>
      <c r="AC108" s="67" t="str">
        <f t="shared" si="126"/>
        <v>26,3936816486211-27,7075005367901i</v>
      </c>
      <c r="AD108" s="68">
        <f t="shared" si="127"/>
        <v>31.6563955813471</v>
      </c>
      <c r="AE108" s="31">
        <f t="shared" si="128"/>
        <v>-46.3911245896136</v>
      </c>
      <c r="AF108" s="32" t="str">
        <f t="shared" si="129"/>
        <v>432,040091031901</v>
      </c>
      <c r="AG108" s="32" t="str">
        <f t="shared" si="110"/>
        <v>1+0,828121610772919i</v>
      </c>
      <c r="AH108" s="32">
        <f t="shared" si="130"/>
        <v>1.29837798896513</v>
      </c>
      <c r="AI108" s="32">
        <f t="shared" si="131"/>
        <v>0.691654611382927</v>
      </c>
      <c r="AJ108" s="32" t="str">
        <f t="shared" si="111"/>
        <v>1+0,0078257492218041i</v>
      </c>
      <c r="AK108" s="32">
        <f t="shared" si="132"/>
        <v>1.00003062070663</v>
      </c>
      <c r="AL108" s="32">
        <f t="shared" si="133"/>
        <v>0.00782558947191421</v>
      </c>
      <c r="AM108" s="32" t="str">
        <f t="shared" si="112"/>
        <v>1-0,00231034308843292i</v>
      </c>
      <c r="AN108" s="32">
        <f t="shared" si="134"/>
        <v>1.00000266883903</v>
      </c>
      <c r="AO108" s="32">
        <f t="shared" si="135"/>
        <v>-0.00231033897781806</v>
      </c>
      <c r="AP108" s="30" t="str">
        <f t="shared" si="136"/>
        <v>257,459350043077-210,824775098282i</v>
      </c>
      <c r="AQ108" s="32">
        <f t="shared" si="137"/>
        <v>50.4427472352815</v>
      </c>
      <c r="AR108" s="31">
        <f t="shared" si="138"/>
        <v>-39.3128895367336</v>
      </c>
      <c r="AS108" t="str">
        <f t="shared" si="113"/>
        <v>-0,000201496259351621</v>
      </c>
      <c r="AT108" t="str">
        <f t="shared" si="114"/>
        <v>0,000112145781258889i</v>
      </c>
      <c r="AU108">
        <f t="shared" si="139"/>
        <v>0.000112145781258889</v>
      </c>
      <c r="AV108">
        <f t="shared" si="140"/>
        <v>1.5707963267949</v>
      </c>
      <c r="AW108" t="str">
        <f t="shared" si="115"/>
        <v>1+0,00574165830471343i</v>
      </c>
      <c r="AX108">
        <f t="shared" si="141"/>
        <v>1.0000164831842</v>
      </c>
      <c r="AY108">
        <f t="shared" si="142"/>
        <v>0.00574159521156713</v>
      </c>
      <c r="AZ108" t="str">
        <f t="shared" si="116"/>
        <v>1+0,274500132142363i</v>
      </c>
      <c r="BA108">
        <f t="shared" si="143"/>
        <v>1.03699099443832</v>
      </c>
      <c r="BB108">
        <f t="shared" si="144"/>
        <v>0.267901428372634</v>
      </c>
      <c r="BC108" s="30" t="str">
        <f t="shared" si="145"/>
        <v>-0,482871859543697+1,79950756602293i</v>
      </c>
      <c r="BD108" s="32">
        <f t="shared" si="146"/>
        <v>5.4050374746672</v>
      </c>
      <c r="BE108" s="31">
        <f t="shared" si="147"/>
        <v>105.020651997983</v>
      </c>
      <c r="BF108" s="30" t="str">
        <f t="shared" si="148"/>
        <v>37,1150907136642+60,8748021294021i</v>
      </c>
      <c r="BG108" s="68">
        <f t="shared" si="149"/>
        <v>37.0614330560143</v>
      </c>
      <c r="BH108" s="31">
        <f t="shared" si="150"/>
        <v>58.6295274083693</v>
      </c>
      <c r="BI108" s="30" t="str">
        <f t="shared" si="103"/>
        <v>255,060902782229+565,101399535452i</v>
      </c>
      <c r="BJ108" s="68">
        <f t="shared" si="151"/>
        <v>55.8477847099487</v>
      </c>
      <c r="BK108" s="31">
        <f t="shared" si="104"/>
        <v>65.7077624612493</v>
      </c>
      <c r="BL108" s="32">
        <f t="shared" si="152"/>
        <v>37.0614330560143</v>
      </c>
      <c r="BM108" s="31">
        <f t="shared" si="153"/>
        <v>58.6295274083693</v>
      </c>
      <c r="BO108">
        <f t="shared" si="154"/>
        <v>0</v>
      </c>
      <c r="BP108">
        <f t="shared" si="155"/>
        <v>0</v>
      </c>
    </row>
    <row r="109" spans="14:68">
      <c r="N109" s="7">
        <v>91</v>
      </c>
      <c r="O109" s="18">
        <f t="shared" si="117"/>
        <v>81.28305161641</v>
      </c>
      <c r="P109" s="86" t="str">
        <f t="shared" si="105"/>
        <v>54,5454545454545</v>
      </c>
      <c r="Q109" s="4" t="str">
        <f t="shared" si="106"/>
        <v>1+1,04000445948295i</v>
      </c>
      <c r="R109" s="4">
        <f t="shared" si="118"/>
        <v>1.44277831829579</v>
      </c>
      <c r="S109" s="4">
        <f t="shared" si="119"/>
        <v>0.805005636584118</v>
      </c>
      <c r="T109" s="4" t="str">
        <f t="shared" si="107"/>
        <v>1+0,00800803433801869i</v>
      </c>
      <c r="U109" s="4">
        <f t="shared" si="120"/>
        <v>1.00003206379294</v>
      </c>
      <c r="V109" s="4">
        <f t="shared" si="121"/>
        <v>0.00800786316322409</v>
      </c>
      <c r="W109" t="str">
        <f t="shared" si="108"/>
        <v>1-0,0229822414037526i</v>
      </c>
      <c r="X109" s="4">
        <f t="shared" si="122"/>
        <v>1.00026405684696</v>
      </c>
      <c r="Y109" s="4">
        <f t="shared" si="123"/>
        <v>-0.0229781964059549</v>
      </c>
      <c r="Z109" t="str">
        <f t="shared" si="109"/>
        <v>0,999999946065841+0,00158686904930673i</v>
      </c>
      <c r="AA109" s="4">
        <f t="shared" si="124"/>
        <v>1.00000120514181</v>
      </c>
      <c r="AB109" s="4">
        <f t="shared" si="125"/>
        <v>0.00158686780290176</v>
      </c>
      <c r="AC109" s="67" t="str">
        <f t="shared" si="126"/>
        <v>25,7563128398925-27,6900253464918i</v>
      </c>
      <c r="AD109" s="68">
        <f t="shared" si="127"/>
        <v>31.5537404561805</v>
      </c>
      <c r="AE109" s="31">
        <f t="shared" si="128"/>
        <v>-47.0720832009764</v>
      </c>
      <c r="AF109" s="32" t="str">
        <f t="shared" si="129"/>
        <v>432,040091031901</v>
      </c>
      <c r="AG109" s="32" t="str">
        <f t="shared" si="110"/>
        <v>1+0,847411041060178i</v>
      </c>
      <c r="AH109" s="32">
        <f t="shared" si="130"/>
        <v>1.310765224024</v>
      </c>
      <c r="AI109" s="32">
        <f t="shared" si="131"/>
        <v>0.702989118644957</v>
      </c>
      <c r="AJ109" s="32" t="str">
        <f t="shared" si="111"/>
        <v>1+0,00800803433801869i</v>
      </c>
      <c r="AK109" s="32">
        <f t="shared" si="132"/>
        <v>1.00003206379294</v>
      </c>
      <c r="AL109" s="32">
        <f t="shared" si="133"/>
        <v>0.00800786316322409</v>
      </c>
      <c r="AM109" s="32" t="str">
        <f t="shared" si="112"/>
        <v>1-0,00236415789215768i</v>
      </c>
      <c r="AN109" s="32">
        <f t="shared" si="134"/>
        <v>1.00000279461736</v>
      </c>
      <c r="AO109" s="32">
        <f t="shared" si="135"/>
        <v>-0.00236415348755516</v>
      </c>
      <c r="AP109" s="30" t="str">
        <f t="shared" si="136"/>
        <v>252,670507348553-211,677396783998i</v>
      </c>
      <c r="AQ109" s="32">
        <f t="shared" si="137"/>
        <v>50.3602855385491</v>
      </c>
      <c r="AR109" s="31">
        <f t="shared" si="138"/>
        <v>-39.9549487967645</v>
      </c>
      <c r="AS109" t="str">
        <f t="shared" si="113"/>
        <v>-0,000201496259351621</v>
      </c>
      <c r="AT109" t="str">
        <f t="shared" si="114"/>
        <v>0,000114757992076071i</v>
      </c>
      <c r="AU109">
        <f t="shared" si="139"/>
        <v>0.000114757992076071</v>
      </c>
      <c r="AV109">
        <f t="shared" si="140"/>
        <v>1.5707963267949</v>
      </c>
      <c r="AW109" t="str">
        <f t="shared" si="115"/>
        <v>1+0,00587539870728384i</v>
      </c>
      <c r="AX109">
        <f t="shared" si="141"/>
        <v>1.00001726000603</v>
      </c>
      <c r="AY109">
        <f t="shared" si="142"/>
        <v>0.00587533110182257</v>
      </c>
      <c r="AZ109" t="str">
        <f t="shared" si="116"/>
        <v>1+0,280894061601421i</v>
      </c>
      <c r="BA109">
        <f t="shared" si="143"/>
        <v>1.03870182143045</v>
      </c>
      <c r="BB109">
        <f t="shared" si="144"/>
        <v>0.273837573542501</v>
      </c>
      <c r="BC109" s="30" t="str">
        <f t="shared" si="145"/>
        <v>-0,482871109346131+1,7586734574469i</v>
      </c>
      <c r="BD109" s="32">
        <f t="shared" si="146"/>
        <v>5.21934889402555</v>
      </c>
      <c r="BE109" s="31">
        <f t="shared" si="147"/>
        <v>105.353105560712</v>
      </c>
      <c r="BF109" s="30" t="str">
        <f t="shared" si="148"/>
        <v>36,2607332592421+58,6676570101007i</v>
      </c>
      <c r="BG109" s="68">
        <f t="shared" si="149"/>
        <v>36.773089350206</v>
      </c>
      <c r="BH109" s="31">
        <f t="shared" si="150"/>
        <v>58.2810223597359</v>
      </c>
      <c r="BI109" s="30" t="str">
        <f t="shared" si="103"/>
        <v>250,264131083028+546,577814162132i</v>
      </c>
      <c r="BJ109" s="68">
        <f t="shared" si="151"/>
        <v>55.5796344325746</v>
      </c>
      <c r="BK109" s="31">
        <f t="shared" si="104"/>
        <v>65.3981567639476</v>
      </c>
      <c r="BL109" s="32">
        <f t="shared" si="152"/>
        <v>36.773089350206</v>
      </c>
      <c r="BM109" s="31">
        <f t="shared" si="153"/>
        <v>58.2810223597359</v>
      </c>
      <c r="BO109">
        <f t="shared" si="154"/>
        <v>0</v>
      </c>
      <c r="BP109">
        <f t="shared" si="155"/>
        <v>0</v>
      </c>
    </row>
    <row r="110" spans="14:68">
      <c r="N110" s="7">
        <v>92</v>
      </c>
      <c r="O110" s="18">
        <f t="shared" si="117"/>
        <v>83.1763771102671</v>
      </c>
      <c r="P110" s="86" t="str">
        <f t="shared" si="105"/>
        <v>54,5454545454545</v>
      </c>
      <c r="Q110" s="4" t="str">
        <f t="shared" si="106"/>
        <v>1+1,06422927532963i</v>
      </c>
      <c r="R110" s="4">
        <f t="shared" si="118"/>
        <v>1.46033693046113</v>
      </c>
      <c r="S110" s="4">
        <f t="shared" si="119"/>
        <v>0.816503506157946</v>
      </c>
      <c r="T110" s="4" t="str">
        <f t="shared" si="107"/>
        <v>1+0,00819456542003818i</v>
      </c>
      <c r="U110" s="4">
        <f t="shared" si="120"/>
        <v>1.00003357488758</v>
      </c>
      <c r="V110" s="4">
        <f t="shared" si="121"/>
        <v>0.00819438200327378</v>
      </c>
      <c r="W110" t="str">
        <f t="shared" si="108"/>
        <v>1-0,0235175665753647i</v>
      </c>
      <c r="X110" s="4">
        <f t="shared" si="122"/>
        <v>1.00027649974276</v>
      </c>
      <c r="Y110" s="4">
        <f t="shared" si="123"/>
        <v>-0.0235132323468402</v>
      </c>
      <c r="Z110" t="str">
        <f t="shared" si="109"/>
        <v>0,999999943524002+0,0016238319778228i</v>
      </c>
      <c r="AA110" s="4">
        <f t="shared" si="124"/>
        <v>1.00000126193835</v>
      </c>
      <c r="AB110" s="4">
        <f t="shared" si="125"/>
        <v>0.0016238306422759</v>
      </c>
      <c r="AC110" s="67" t="str">
        <f t="shared" si="126"/>
        <v>25,1200935001808-27,657926307408i</v>
      </c>
      <c r="AD110" s="68">
        <f t="shared" si="127"/>
        <v>31.4487919161812</v>
      </c>
      <c r="AE110" s="31">
        <f t="shared" si="128"/>
        <v>-47.7529489746095</v>
      </c>
      <c r="AF110" s="32" t="str">
        <f t="shared" si="129"/>
        <v>432,040091031901</v>
      </c>
      <c r="AG110" s="32" t="str">
        <f t="shared" si="110"/>
        <v>1+0,867149779898219i</v>
      </c>
      <c r="AH110" s="32">
        <f t="shared" si="130"/>
        <v>1.32361200537678</v>
      </c>
      <c r="AI110" s="32">
        <f t="shared" si="131"/>
        <v>0.714366522190353</v>
      </c>
      <c r="AJ110" s="32" t="str">
        <f t="shared" si="111"/>
        <v>1+0,00819456542003818i</v>
      </c>
      <c r="AK110" s="32">
        <f t="shared" si="132"/>
        <v>1.00003357488758</v>
      </c>
      <c r="AL110" s="32">
        <f t="shared" si="133"/>
        <v>0.00819438200327378</v>
      </c>
      <c r="AM110" s="32" t="str">
        <f t="shared" si="112"/>
        <v>1-0,00241922620369019i</v>
      </c>
      <c r="AN110" s="32">
        <f t="shared" si="134"/>
        <v>1.00000292632343</v>
      </c>
      <c r="AO110" s="32">
        <f t="shared" si="135"/>
        <v>-0.00241922148407431</v>
      </c>
      <c r="AP110" s="30" t="str">
        <f t="shared" si="136"/>
        <v>247,845350169731-212,423862767708i</v>
      </c>
      <c r="AQ110" s="32">
        <f t="shared" si="137"/>
        <v>50.275584066254</v>
      </c>
      <c r="AR110" s="31">
        <f t="shared" si="138"/>
        <v>-40.5992944231851</v>
      </c>
      <c r="AS110" t="str">
        <f t="shared" si="113"/>
        <v>-0,000201496259351621</v>
      </c>
      <c r="AT110" t="str">
        <f t="shared" si="114"/>
        <v>0,000117431049099654i</v>
      </c>
      <c r="AU110">
        <f t="shared" si="139"/>
        <v>0.000117431049099654</v>
      </c>
      <c r="AV110">
        <f t="shared" si="140"/>
        <v>1.5707963267949</v>
      </c>
      <c r="AW110" t="str">
        <f t="shared" si="115"/>
        <v>1+0,00601225432401895i</v>
      </c>
      <c r="AX110">
        <f t="shared" si="141"/>
        <v>1.0000180734377</v>
      </c>
      <c r="AY110">
        <f t="shared" si="142"/>
        <v>0.00601218188353277</v>
      </c>
      <c r="AZ110" t="str">
        <f t="shared" si="116"/>
        <v>1+0,287436924810012i</v>
      </c>
      <c r="BA110">
        <f t="shared" si="143"/>
        <v>1.04049026220539</v>
      </c>
      <c r="BB110">
        <f t="shared" si="144"/>
        <v>0.279891561883425</v>
      </c>
      <c r="BC110" s="30" t="str">
        <f t="shared" si="145"/>
        <v>-0,482870323795337+1,71877182040125i</v>
      </c>
      <c r="BD110" s="32">
        <f t="shared" si="146"/>
        <v>5.03428436645222</v>
      </c>
      <c r="BE110" s="31">
        <f t="shared" si="147"/>
        <v>105.692132569653</v>
      </c>
      <c r="BF110" s="30" t="str">
        <f t="shared" si="148"/>
        <v>35,4079166657058+56,530900665521i</v>
      </c>
      <c r="BG110" s="68">
        <f t="shared" si="149"/>
        <v>36.4830762826334</v>
      </c>
      <c r="BH110" s="31">
        <f t="shared" si="150"/>
        <v>57.939183595044</v>
      </c>
      <c r="BI110" s="30" t="str">
        <f t="shared" si="103"/>
        <v>245,430984818292+528,562783085713i</v>
      </c>
      <c r="BJ110" s="68">
        <f t="shared" si="151"/>
        <v>55.3098684327062</v>
      </c>
      <c r="BK110" s="31">
        <f t="shared" si="104"/>
        <v>65.0928381464683</v>
      </c>
      <c r="BL110" s="32">
        <f t="shared" si="152"/>
        <v>36.4830762826334</v>
      </c>
      <c r="BM110" s="31">
        <f t="shared" si="153"/>
        <v>57.939183595044</v>
      </c>
      <c r="BO110">
        <f t="shared" si="154"/>
        <v>0</v>
      </c>
      <c r="BP110">
        <f t="shared" si="155"/>
        <v>0</v>
      </c>
    </row>
    <row r="111" spans="14:68">
      <c r="N111" s="7">
        <v>93</v>
      </c>
      <c r="O111" s="18">
        <f t="shared" si="117"/>
        <v>85.1138038202377</v>
      </c>
      <c r="P111" s="86" t="str">
        <f t="shared" si="105"/>
        <v>54,5454545454545</v>
      </c>
      <c r="Q111" s="4" t="str">
        <f t="shared" si="106"/>
        <v>1+1,08901835962484i</v>
      </c>
      <c r="R111" s="4">
        <f t="shared" si="118"/>
        <v>1.47849957308076</v>
      </c>
      <c r="S111" s="4">
        <f t="shared" si="119"/>
        <v>0.827984930129802</v>
      </c>
      <c r="T111" s="4" t="str">
        <f t="shared" si="107"/>
        <v>1+0,00838544136911126i</v>
      </c>
      <c r="U111" s="4">
        <f t="shared" si="120"/>
        <v>1.00003515719546</v>
      </c>
      <c r="V111" s="4">
        <f t="shared" si="121"/>
        <v>0.00838524483488046</v>
      </c>
      <c r="W111" t="str">
        <f t="shared" si="108"/>
        <v>1-0,0240653610720668i</v>
      </c>
      <c r="X111" s="4">
        <f t="shared" si="122"/>
        <v>1.00028952888828</v>
      </c>
      <c r="Y111" s="4">
        <f t="shared" si="123"/>
        <v>-0.0240607169351275</v>
      </c>
      <c r="Z111" t="str">
        <f t="shared" si="109"/>
        <v>0,999999940862371+0,00166165588354747i</v>
      </c>
      <c r="AA111" s="4">
        <f t="shared" si="124"/>
        <v>1.00000132141164</v>
      </c>
      <c r="AB111" s="4">
        <f t="shared" si="125"/>
        <v>0.00166165445248329</v>
      </c>
      <c r="AC111" s="67" t="str">
        <f t="shared" si="126"/>
        <v>24,4856927389512-27,6112888034507i</v>
      </c>
      <c r="AD111" s="68">
        <f t="shared" si="127"/>
        <v>31.3415555758393</v>
      </c>
      <c r="AE111" s="31">
        <f t="shared" si="128"/>
        <v>-48.4333861772276</v>
      </c>
      <c r="AF111" s="32" t="str">
        <f t="shared" si="129"/>
        <v>432,040091031901</v>
      </c>
      <c r="AG111" s="32" t="str">
        <f t="shared" si="110"/>
        <v>1+0,887348293027645i</v>
      </c>
      <c r="AH111" s="32">
        <f t="shared" si="130"/>
        <v>1.33693193287432</v>
      </c>
      <c r="AI111" s="32">
        <f t="shared" si="131"/>
        <v>0.725781073314958</v>
      </c>
      <c r="AJ111" s="32" t="str">
        <f t="shared" si="111"/>
        <v>1+0,00838544136911126i</v>
      </c>
      <c r="AK111" s="32">
        <f t="shared" si="132"/>
        <v>1.00003515719546</v>
      </c>
      <c r="AL111" s="32">
        <f t="shared" si="133"/>
        <v>0.00838524483488046</v>
      </c>
      <c r="AM111" s="32" t="str">
        <f t="shared" si="112"/>
        <v>1-0,00247557722097814i</v>
      </c>
      <c r="AN111" s="32">
        <f t="shared" si="134"/>
        <v>1.00000306423659</v>
      </c>
      <c r="AO111" s="32">
        <f t="shared" si="135"/>
        <v>-0.00247557216381945</v>
      </c>
      <c r="AP111" s="30" t="str">
        <f t="shared" si="136"/>
        <v>242,98863434447-213,062251666138i</v>
      </c>
      <c r="AQ111" s="32">
        <f t="shared" si="137"/>
        <v>50.1886270275965</v>
      </c>
      <c r="AR111" s="31">
        <f t="shared" si="138"/>
        <v>-41.2455930490664</v>
      </c>
      <c r="AS111" t="str">
        <f t="shared" si="113"/>
        <v>-0,000201496259351621</v>
      </c>
      <c r="AT111" t="str">
        <f t="shared" si="114"/>
        <v>0,000120166369619853i</v>
      </c>
      <c r="AU111">
        <f t="shared" si="139"/>
        <v>0.000120166369619853</v>
      </c>
      <c r="AV111">
        <f t="shared" si="140"/>
        <v>1.5707963267949</v>
      </c>
      <c r="AW111" t="str">
        <f t="shared" si="115"/>
        <v>1+0,00615229771757825i</v>
      </c>
      <c r="AX111">
        <f t="shared" si="141"/>
        <v>1.00001892520452</v>
      </c>
      <c r="AY111">
        <f t="shared" si="142"/>
        <v>0.00615222009627816</v>
      </c>
      <c r="AZ111" t="str">
        <f t="shared" si="116"/>
        <v>1+0,294132190880815i</v>
      </c>
      <c r="BA111">
        <f t="shared" si="143"/>
        <v>1.04235970073308</v>
      </c>
      <c r="BB111">
        <f t="shared" si="144"/>
        <v>0.286064827538998</v>
      </c>
      <c r="BC111" s="30" t="str">
        <f t="shared" si="145"/>
        <v>-0,482869501225416+1,67978149848014i</v>
      </c>
      <c r="BD111" s="32">
        <f t="shared" si="146"/>
        <v>4.84986881727586</v>
      </c>
      <c r="BE111" s="31">
        <f t="shared" si="147"/>
        <v>106.03781103897</v>
      </c>
      <c r="BF111" s="30" t="str">
        <f t="shared" si="148"/>
        <v>34,5575378412122+54,4632628930729i</v>
      </c>
      <c r="BG111" s="68">
        <f t="shared" si="149"/>
        <v>36.1914243931152</v>
      </c>
      <c r="BH111" s="31">
        <f t="shared" si="150"/>
        <v>57.6044248617424</v>
      </c>
      <c r="BI111" s="30" t="str">
        <f t="shared" si="103"/>
        <v>240,566227703939+511,049075504789i</v>
      </c>
      <c r="BJ111" s="68">
        <f t="shared" si="151"/>
        <v>55.0384958448724</v>
      </c>
      <c r="BK111" s="31">
        <f t="shared" si="104"/>
        <v>64.7922179899036</v>
      </c>
      <c r="BL111" s="32">
        <f t="shared" si="152"/>
        <v>36.1914243931152</v>
      </c>
      <c r="BM111" s="31">
        <f t="shared" si="153"/>
        <v>57.6044248617424</v>
      </c>
      <c r="BO111">
        <f t="shared" si="154"/>
        <v>0</v>
      </c>
      <c r="BP111">
        <f t="shared" si="155"/>
        <v>0</v>
      </c>
    </row>
    <row r="112" spans="14:68">
      <c r="N112" s="7">
        <v>94</v>
      </c>
      <c r="O112" s="18">
        <f t="shared" si="117"/>
        <v>87.0963589956081</v>
      </c>
      <c r="P112" s="86" t="str">
        <f t="shared" si="105"/>
        <v>54,5454545454545</v>
      </c>
      <c r="Q112" s="4" t="str">
        <f t="shared" si="106"/>
        <v>1+1,11438485586918i</v>
      </c>
      <c r="R112" s="4">
        <f t="shared" si="118"/>
        <v>1.49728207328832</v>
      </c>
      <c r="S112" s="4">
        <f t="shared" si="119"/>
        <v>0.839443888993644</v>
      </c>
      <c r="T112" s="4" t="str">
        <f t="shared" si="107"/>
        <v>1+0,00858076339019268i</v>
      </c>
      <c r="U112" s="4">
        <f t="shared" si="120"/>
        <v>1.00003681407254</v>
      </c>
      <c r="V112" s="4">
        <f t="shared" si="121"/>
        <v>0.00858055280038894</v>
      </c>
      <c r="W112" t="str">
        <f t="shared" si="108"/>
        <v>1-0,024625915341752i</v>
      </c>
      <c r="X112" s="4">
        <f t="shared" si="122"/>
        <v>1.00030317189661</v>
      </c>
      <c r="Y112" s="4">
        <f t="shared" si="123"/>
        <v>-0.0246209391408186</v>
      </c>
      <c r="Z112" t="str">
        <f t="shared" si="109"/>
        <v>0,9999999380753+0,00170036082121621i</v>
      </c>
      <c r="AA112" s="4">
        <f t="shared" si="124"/>
        <v>1.00000138368781</v>
      </c>
      <c r="AB112" s="4">
        <f t="shared" si="125"/>
        <v>0.00170035928780343</v>
      </c>
      <c r="AC112" s="67" t="str">
        <f t="shared" si="126"/>
        <v>23,8537720053968-27,5502362038941i</v>
      </c>
      <c r="AD112" s="68">
        <f t="shared" si="127"/>
        <v>31.2320394639725</v>
      </c>
      <c r="AE112" s="31">
        <f t="shared" si="128"/>
        <v>-49.1130618272972</v>
      </c>
      <c r="AF112" s="32" t="str">
        <f t="shared" si="129"/>
        <v>432,040091031901</v>
      </c>
      <c r="AG112" s="32" t="str">
        <f t="shared" si="110"/>
        <v>1+0,908017289967478i</v>
      </c>
      <c r="AH112" s="32">
        <f t="shared" si="130"/>
        <v>1.35073883444576</v>
      </c>
      <c r="AI112" s="32">
        <f t="shared" si="131"/>
        <v>0.737226927286396</v>
      </c>
      <c r="AJ112" s="32" t="str">
        <f t="shared" si="111"/>
        <v>1+0,00858076339019268i</v>
      </c>
      <c r="AK112" s="32">
        <f t="shared" si="132"/>
        <v>1.00003681407254</v>
      </c>
      <c r="AL112" s="32">
        <f t="shared" si="133"/>
        <v>0.00858055280038894</v>
      </c>
      <c r="AM112" s="32" t="str">
        <f t="shared" si="112"/>
        <v>1-0,00253324082207679i</v>
      </c>
      <c r="AN112" s="32">
        <f t="shared" si="134"/>
        <v>1.00000320864938</v>
      </c>
      <c r="AO112" s="32">
        <f t="shared" si="135"/>
        <v>-0.00253323540323456</v>
      </c>
      <c r="AP112" s="30" t="str">
        <f t="shared" si="136"/>
        <v>238,105245399748-213,590907454074i</v>
      </c>
      <c r="AQ112" s="32">
        <f t="shared" si="137"/>
        <v>50.0994008805348</v>
      </c>
      <c r="AR112" s="31">
        <f t="shared" si="138"/>
        <v>-41.8935057126755</v>
      </c>
      <c r="AS112" t="str">
        <f t="shared" si="113"/>
        <v>-0,000201496259351621</v>
      </c>
      <c r="AT112" t="str">
        <f t="shared" si="114"/>
        <v>0,000122965403939815i</v>
      </c>
      <c r="AU112">
        <f t="shared" si="139"/>
        <v>0.000122965403939815</v>
      </c>
      <c r="AV112">
        <f t="shared" si="140"/>
        <v>1.5707963267949</v>
      </c>
      <c r="AW112" t="str">
        <f t="shared" si="115"/>
        <v>1+0,0062956031408227i</v>
      </c>
      <c r="AX112">
        <f t="shared" si="141"/>
        <v>1.00001981711309</v>
      </c>
      <c r="AY112">
        <f t="shared" si="142"/>
        <v>0.00629551996819018</v>
      </c>
      <c r="AZ112" t="str">
        <f t="shared" si="116"/>
        <v>1+0,300983409732523i</v>
      </c>
      <c r="BA112">
        <f t="shared" si="143"/>
        <v>1.04431365639554</v>
      </c>
      <c r="BB112">
        <f t="shared" si="144"/>
        <v>0.292358760867851</v>
      </c>
      <c r="BC112" s="30" t="str">
        <f t="shared" si="145"/>
        <v>-0,482868639891972+1,64168181846694i</v>
      </c>
      <c r="BD112" s="32">
        <f t="shared" si="146"/>
        <v>4.66612796540883</v>
      </c>
      <c r="BE112" s="31">
        <f t="shared" si="147"/>
        <v>106.390216377385</v>
      </c>
      <c r="BF112" s="30" t="str">
        <f t="shared" si="148"/>
        <v>33,7104834258634+52,4634488875925i</v>
      </c>
      <c r="BG112" s="68">
        <f t="shared" si="149"/>
        <v>35.8981674293813</v>
      </c>
      <c r="BH112" s="31">
        <f t="shared" si="150"/>
        <v>57.2771545500877</v>
      </c>
      <c r="BI112" s="30" t="str">
        <f t="shared" si="103"/>
        <v>235,674753359888+494,029403230016i</v>
      </c>
      <c r="BJ112" s="68">
        <f t="shared" si="151"/>
        <v>54.7655288459436</v>
      </c>
      <c r="BK112" s="31">
        <f t="shared" si="104"/>
        <v>64.4967106647092</v>
      </c>
      <c r="BL112" s="32">
        <f t="shared" si="152"/>
        <v>35.8981674293813</v>
      </c>
      <c r="BM112" s="31">
        <f t="shared" si="153"/>
        <v>57.2771545500877</v>
      </c>
      <c r="BO112">
        <f t="shared" si="154"/>
        <v>0</v>
      </c>
      <c r="BP112">
        <f t="shared" si="155"/>
        <v>0</v>
      </c>
    </row>
    <row r="113" spans="14:68">
      <c r="N113" s="7">
        <v>95</v>
      </c>
      <c r="O113" s="18">
        <f t="shared" si="117"/>
        <v>89.1250938133746</v>
      </c>
      <c r="P113" s="86" t="str">
        <f t="shared" si="105"/>
        <v>54,5454545454545</v>
      </c>
      <c r="Q113" s="4" t="str">
        <f t="shared" si="106"/>
        <v>1+1,14034221371473i</v>
      </c>
      <c r="R113" s="4">
        <f t="shared" si="118"/>
        <v>1.51670048604852</v>
      </c>
      <c r="S113" s="4">
        <f t="shared" si="119"/>
        <v>0.850874422230235</v>
      </c>
      <c r="T113" s="4" t="str">
        <f t="shared" si="107"/>
        <v>1+0,00878063504560343i</v>
      </c>
      <c r="U113" s="4">
        <f t="shared" si="120"/>
        <v>1.00003854903289</v>
      </c>
      <c r="V113" s="4">
        <f t="shared" si="121"/>
        <v>0.00878040939503301</v>
      </c>
      <c r="W113" t="str">
        <f t="shared" si="108"/>
        <v>1-0,0251995265977139i</v>
      </c>
      <c r="X113" s="4">
        <f t="shared" si="122"/>
        <v>1.00031745768069</v>
      </c>
      <c r="Y113" s="4">
        <f t="shared" si="123"/>
        <v>-0.0251941945937354</v>
      </c>
      <c r="Z113" t="str">
        <f t="shared" si="109"/>
        <v>0,999999935156879+0,00173996731269929i</v>
      </c>
      <c r="AA113" s="4">
        <f t="shared" si="124"/>
        <v>1.00000144889896</v>
      </c>
      <c r="AB113" s="4">
        <f t="shared" si="125"/>
        <v>0.00173996566961802</v>
      </c>
      <c r="AC113" s="67" t="str">
        <f t="shared" si="126"/>
        <v>23,2249823553739-27,4749290750095i</v>
      </c>
      <c r="AD113" s="68">
        <f t="shared" si="127"/>
        <v>31.1202539916818</v>
      </c>
      <c r="AE113" s="31">
        <f t="shared" si="128"/>
        <v>-49.7916465965116</v>
      </c>
      <c r="AF113" s="32" t="str">
        <f t="shared" si="129"/>
        <v>432,040091031901</v>
      </c>
      <c r="AG113" s="32" t="str">
        <f t="shared" si="110"/>
        <v>1+0,929167729693483i</v>
      </c>
      <c r="AH113" s="32">
        <f t="shared" si="130"/>
        <v>1.36504676473143</v>
      </c>
      <c r="AI113" s="32">
        <f t="shared" si="131"/>
        <v>0.74869815786702</v>
      </c>
      <c r="AJ113" s="32" t="str">
        <f t="shared" si="111"/>
        <v>1+0,00878063504560343i</v>
      </c>
      <c r="AK113" s="32">
        <f t="shared" si="132"/>
        <v>1.00003854903289</v>
      </c>
      <c r="AL113" s="32">
        <f t="shared" si="133"/>
        <v>0.00878040939503301</v>
      </c>
      <c r="AM113" s="32" t="str">
        <f t="shared" si="112"/>
        <v>1-0,00259224758099072i</v>
      </c>
      <c r="AN113" s="32">
        <f t="shared" si="134"/>
        <v>1.00000335986812</v>
      </c>
      <c r="AO113" s="32">
        <f t="shared" si="135"/>
        <v>-0.00259224177459771</v>
      </c>
      <c r="AP113" s="30" t="str">
        <f t="shared" si="136"/>
        <v>233,200179472753-214,008449841259i</v>
      </c>
      <c r="AQ113" s="32">
        <f t="shared" si="137"/>
        <v>50.0078943878876</v>
      </c>
      <c r="AR113" s="31">
        <f t="shared" si="138"/>
        <v>-42.5426886874292</v>
      </c>
      <c r="AS113" t="str">
        <f t="shared" si="113"/>
        <v>-0,000201496259351621</v>
      </c>
      <c r="AT113" t="str">
        <f t="shared" si="114"/>
        <v>0,000125829636144585i</v>
      </c>
      <c r="AU113">
        <f t="shared" si="139"/>
        <v>0.000125829636144585</v>
      </c>
      <c r="AV113">
        <f t="shared" si="140"/>
        <v>1.5707963267949</v>
      </c>
      <c r="AW113" t="str">
        <f t="shared" si="115"/>
        <v>1+0,00644224657618459i</v>
      </c>
      <c r="AX113">
        <f t="shared" si="141"/>
        <v>1.00002075105517</v>
      </c>
      <c r="AY113">
        <f t="shared" si="142"/>
        <v>0.00644215745520305</v>
      </c>
      <c r="AZ113" t="str">
        <f t="shared" si="116"/>
        <v>1+0,307994213972059i</v>
      </c>
      <c r="BA113">
        <f t="shared" si="143"/>
        <v>1.04635578836277</v>
      </c>
      <c r="BB113">
        <f t="shared" si="144"/>
        <v>0.298774703643499</v>
      </c>
      <c r="BC113" s="30" t="str">
        <f t="shared" si="145"/>
        <v>-0,48286773796843+1,6044525793729i</v>
      </c>
      <c r="BD113" s="32">
        <f t="shared" si="146"/>
        <v>4.48308833078177</v>
      </c>
      <c r="BE113" s="31">
        <f t="shared" si="147"/>
        <v>106.749421110903</v>
      </c>
      <c r="BF113" s="30" t="str">
        <f t="shared" si="148"/>
        <v>32,8676261281904+50,5301396992626i</v>
      </c>
      <c r="BG113" s="68">
        <f t="shared" si="149"/>
        <v>35.6033423224636</v>
      </c>
      <c r="BH113" s="31">
        <f t="shared" si="150"/>
        <v>56.9577745143909</v>
      </c>
      <c r="BI113" s="30" t="str">
        <f t="shared" si="103"/>
        <v>230,761566199564+477,496405546261i</v>
      </c>
      <c r="BJ113" s="68">
        <f t="shared" si="151"/>
        <v>54.4909827186694</v>
      </c>
      <c r="BK113" s="31">
        <f t="shared" si="104"/>
        <v>64.2067324234733</v>
      </c>
      <c r="BL113" s="32">
        <f t="shared" si="152"/>
        <v>35.6033423224636</v>
      </c>
      <c r="BM113" s="31">
        <f t="shared" si="153"/>
        <v>56.9577745143909</v>
      </c>
      <c r="BO113">
        <f t="shared" si="154"/>
        <v>0</v>
      </c>
      <c r="BP113">
        <f t="shared" si="155"/>
        <v>0</v>
      </c>
    </row>
    <row r="114" spans="14:68">
      <c r="N114" s="7">
        <v>96</v>
      </c>
      <c r="O114" s="18">
        <f t="shared" si="117"/>
        <v>91.201083935591</v>
      </c>
      <c r="P114" s="86" t="str">
        <f t="shared" si="105"/>
        <v>54,5454545454545</v>
      </c>
      <c r="Q114" s="4" t="str">
        <f t="shared" si="106"/>
        <v>1+1,1669041960962i</v>
      </c>
      <c r="R114" s="4">
        <f t="shared" si="118"/>
        <v>1.5367710964444</v>
      </c>
      <c r="S114" s="4">
        <f t="shared" si="119"/>
        <v>0.862270643560589</v>
      </c>
      <c r="T114" s="4" t="str">
        <f t="shared" si="107"/>
        <v>1+0,00898516230994079i</v>
      </c>
      <c r="U114" s="4">
        <f t="shared" si="120"/>
        <v>1.00004036575617</v>
      </c>
      <c r="V114" s="4">
        <f t="shared" si="121"/>
        <v>0.00898492052152546</v>
      </c>
      <c r="W114" t="str">
        <f t="shared" si="108"/>
        <v>1-0,0257864989762331i</v>
      </c>
      <c r="X114" s="4">
        <f t="shared" si="122"/>
        <v>1.00033241651436</v>
      </c>
      <c r="Y114" s="4">
        <f t="shared" si="123"/>
        <v>-0.0257807857335697</v>
      </c>
      <c r="Z114" t="str">
        <f t="shared" si="109"/>
        <v>0,999999932100917+0,00178049635788276i</v>
      </c>
      <c r="AA114" s="4">
        <f t="shared" si="124"/>
        <v>1.00000151718341</v>
      </c>
      <c r="AB114" s="4">
        <f t="shared" si="125"/>
        <v>0.0017804945972896</v>
      </c>
      <c r="AC114" s="67" t="str">
        <f t="shared" si="126"/>
        <v>22,5999618104237-27,3855641608426i</v>
      </c>
      <c r="AD114" s="68">
        <f t="shared" si="127"/>
        <v>31.0062119106275</v>
      </c>
      <c r="AE114" s="31">
        <f t="shared" si="128"/>
        <v>-50.4688156898424</v>
      </c>
      <c r="AF114" s="32" t="str">
        <f t="shared" si="129"/>
        <v>432,040091031901</v>
      </c>
      <c r="AG114" s="32" t="str">
        <f t="shared" si="110"/>
        <v>1+0,950810826448759i</v>
      </c>
      <c r="AH114" s="32">
        <f t="shared" si="130"/>
        <v>1.37987000391058</v>
      </c>
      <c r="AI114" s="32">
        <f t="shared" si="131"/>
        <v>0.760188772350032</v>
      </c>
      <c r="AJ114" s="32" t="str">
        <f t="shared" si="111"/>
        <v>1+0,00898516230994079i</v>
      </c>
      <c r="AK114" s="32">
        <f t="shared" si="132"/>
        <v>1.00004036575617</v>
      </c>
      <c r="AL114" s="32">
        <f t="shared" si="133"/>
        <v>0.00898492052152546</v>
      </c>
      <c r="AM114" s="32" t="str">
        <f t="shared" si="112"/>
        <v>1-0,00265262878388454i</v>
      </c>
      <c r="AN114" s="32">
        <f t="shared" si="134"/>
        <v>1.00000351821354</v>
      </c>
      <c r="AO114" s="32">
        <f t="shared" si="135"/>
        <v>-0.00265262256222352</v>
      </c>
      <c r="AP114" s="30" t="str">
        <f t="shared" si="136"/>
        <v>228,278523265913-214,313783005905i</v>
      </c>
      <c r="AQ114" s="32">
        <f t="shared" si="137"/>
        <v>49.9140986643158</v>
      </c>
      <c r="AR114" s="31">
        <f t="shared" si="138"/>
        <v>-43.1927943412009</v>
      </c>
      <c r="AS114" t="str">
        <f t="shared" si="113"/>
        <v>-0,000201496259351621</v>
      </c>
      <c r="AT114" t="str">
        <f t="shared" si="114"/>
        <v>0,000128760584887991i</v>
      </c>
      <c r="AU114">
        <f t="shared" si="139"/>
        <v>0.000128760584887991</v>
      </c>
      <c r="AV114">
        <f t="shared" si="140"/>
        <v>1.5707963267949</v>
      </c>
      <c r="AW114" t="str">
        <f t="shared" si="115"/>
        <v>1+0,00659230577595437i</v>
      </c>
      <c r="AX114">
        <f t="shared" si="141"/>
        <v>1.00002172901165</v>
      </c>
      <c r="AY114">
        <f t="shared" si="142"/>
        <v>0.00659221028121422</v>
      </c>
      <c r="AZ114" t="str">
        <f t="shared" si="116"/>
        <v>1+0,315168320820627i</v>
      </c>
      <c r="BA114">
        <f t="shared" si="143"/>
        <v>1.04848990002236</v>
      </c>
      <c r="BB114">
        <f t="shared" si="144"/>
        <v>0.305313944041599</v>
      </c>
      <c r="BC114" s="30" t="str">
        <f t="shared" si="145"/>
        <v>-0,482866793542151+1,56807404172608i</v>
      </c>
      <c r="BD114" s="32">
        <f t="shared" si="146"/>
        <v>4.30077724009211</v>
      </c>
      <c r="BE114" s="31">
        <f t="shared" si="147"/>
        <v>107.115494593301</v>
      </c>
      <c r="BF114" s="30" t="str">
        <f t="shared" si="148"/>
        <v>32,029821185067+48,6619930146151i</v>
      </c>
      <c r="BG114" s="68">
        <f t="shared" si="149"/>
        <v>35.3069891507197</v>
      </c>
      <c r="BH114" s="31">
        <f t="shared" si="150"/>
        <v>56.6466789034583</v>
      </c>
      <c r="BI114" s="30" t="str">
        <f t="shared" ref="BI114:BI177" si="156">IMPRODUCT(AP114,BC114)</f>
        <v>225,831761351727+461,442635828791i</v>
      </c>
      <c r="BJ114" s="68">
        <f t="shared" si="151"/>
        <v>54.2148759044079</v>
      </c>
      <c r="BK114" s="31">
        <f t="shared" ref="BK114:BK177" si="157">(180/PI())*IMARGUMENT(BI114)</f>
        <v>63.9227002520998</v>
      </c>
      <c r="BL114" s="32">
        <f t="shared" si="152"/>
        <v>35.3069891507197</v>
      </c>
      <c r="BM114" s="31">
        <f t="shared" si="153"/>
        <v>56.6466789034583</v>
      </c>
      <c r="BO114">
        <f t="shared" si="154"/>
        <v>0</v>
      </c>
      <c r="BP114">
        <f t="shared" si="155"/>
        <v>0</v>
      </c>
    </row>
    <row r="115" spans="14:68">
      <c r="N115" s="7">
        <v>97</v>
      </c>
      <c r="O115" s="18">
        <f t="shared" si="117"/>
        <v>93.3254300796992</v>
      </c>
      <c r="P115" s="86" t="str">
        <f t="shared" si="105"/>
        <v>54,5454545454545</v>
      </c>
      <c r="Q115" s="4" t="str">
        <f t="shared" si="106"/>
        <v>1+1,19408488652825i</v>
      </c>
      <c r="R115" s="4">
        <f t="shared" si="118"/>
        <v>1.55751042251254</v>
      </c>
      <c r="S115" s="4">
        <f t="shared" si="119"/>
        <v>0.873626755729894</v>
      </c>
      <c r="T115" s="4" t="str">
        <f t="shared" si="107"/>
        <v>1+0,00919445362626756i</v>
      </c>
      <c r="U115" s="4">
        <f t="shared" si="120"/>
        <v>1.00004226809545</v>
      </c>
      <c r="V115" s="4">
        <f t="shared" si="121"/>
        <v>0.00919419454590416</v>
      </c>
      <c r="W115" t="str">
        <f t="shared" si="108"/>
        <v>1-0,0263871436978342i</v>
      </c>
      <c r="X115" s="4">
        <f t="shared" si="122"/>
        <v>1.00034808009639</v>
      </c>
      <c r="Y115" s="4">
        <f t="shared" si="123"/>
        <v>-0.0263810219630662</v>
      </c>
      <c r="Z115" t="str">
        <f t="shared" si="109"/>
        <v>0,999999928900931+0,00182196944580284i</v>
      </c>
      <c r="AA115" s="4">
        <f t="shared" si="124"/>
        <v>1.000001588686</v>
      </c>
      <c r="AB115" s="4">
        <f t="shared" si="125"/>
        <v>0.00182196755929345</v>
      </c>
      <c r="AC115" s="67" t="str">
        <f t="shared" si="126"/>
        <v>21,9793328312329-27,282373145106i</v>
      </c>
      <c r="AD115" s="68">
        <f t="shared" si="127"/>
        <v>30.8899282620001</v>
      </c>
      <c r="AE115" s="31">
        <f t="shared" si="128"/>
        <v>-51.1442496988098</v>
      </c>
      <c r="AF115" s="32" t="str">
        <f t="shared" si="129"/>
        <v>432,040091031901</v>
      </c>
      <c r="AG115" s="32" t="str">
        <f t="shared" si="110"/>
        <v>1+0,972958055689688i</v>
      </c>
      <c r="AH115" s="32">
        <f t="shared" si="130"/>
        <v>1.395223056766</v>
      </c>
      <c r="AI115" s="32">
        <f t="shared" si="131"/>
        <v>0.771692727017799</v>
      </c>
      <c r="AJ115" s="32" t="str">
        <f t="shared" si="111"/>
        <v>1+0,00919445362626756i</v>
      </c>
      <c r="AK115" s="32">
        <f t="shared" si="132"/>
        <v>1.00004226809545</v>
      </c>
      <c r="AL115" s="32">
        <f t="shared" si="133"/>
        <v>0.00919419454590416</v>
      </c>
      <c r="AM115" s="32" t="str">
        <f t="shared" si="112"/>
        <v>1-0,00271441644567127i</v>
      </c>
      <c r="AN115" s="32">
        <f t="shared" si="134"/>
        <v>1.00000368402153</v>
      </c>
      <c r="AO115" s="32">
        <f t="shared" si="135"/>
        <v>-0.0027144097790427</v>
      </c>
      <c r="AP115" s="30" t="str">
        <f t="shared" si="136"/>
        <v>223,34543320283-214,506102582801i</v>
      </c>
      <c r="AQ115" s="32">
        <f t="shared" si="137"/>
        <v>49.8180072137736</v>
      </c>
      <c r="AR115" s="31">
        <f t="shared" si="138"/>
        <v>-43.8434720197666</v>
      </c>
      <c r="AS115" t="str">
        <f t="shared" si="113"/>
        <v>-0,000201496259351621</v>
      </c>
      <c r="AT115" t="str">
        <f t="shared" si="114"/>
        <v>0,000131759804197852i</v>
      </c>
      <c r="AU115">
        <f t="shared" si="139"/>
        <v>0.000131759804197852</v>
      </c>
      <c r="AV115">
        <f t="shared" si="140"/>
        <v>1.5707963267949</v>
      </c>
      <c r="AW115" t="str">
        <f t="shared" si="115"/>
        <v>1+0,00674586030350605i</v>
      </c>
      <c r="AX115">
        <f t="shared" si="141"/>
        <v>1.00002275305677</v>
      </c>
      <c r="AY115">
        <f t="shared" si="142"/>
        <v>0.00674575797917417</v>
      </c>
      <c r="AZ115" t="str">
        <f t="shared" si="116"/>
        <v>1+0,32250953408464i</v>
      </c>
      <c r="BA115">
        <f t="shared" si="143"/>
        <v>1.05071994345567</v>
      </c>
      <c r="BB115">
        <f t="shared" si="144"/>
        <v>0.311977711416962</v>
      </c>
      <c r="BC115" s="30" t="str">
        <f t="shared" si="145"/>
        <v>-0,482865804610393+1,53252691710514i</v>
      </c>
      <c r="BD115" s="32">
        <f t="shared" si="146"/>
        <v>4.11922283069214</v>
      </c>
      <c r="BE115" s="31">
        <f t="shared" si="147"/>
        <v>107.488502704519</v>
      </c>
      <c r="BF115" s="30" t="str">
        <f t="shared" si="148"/>
        <v>31,1979029750285+46,8576442442697i</v>
      </c>
      <c r="BG115" s="68">
        <f t="shared" si="149"/>
        <v>35.0091510926922</v>
      </c>
      <c r="BH115" s="31">
        <f t="shared" si="150"/>
        <v>56.344253005709</v>
      </c>
      <c r="BI115" s="30" t="str">
        <f t="shared" si="156"/>
        <v>220,890503781918+445,860550013329i</v>
      </c>
      <c r="BJ115" s="68">
        <f t="shared" si="151"/>
        <v>53.9372300444658</v>
      </c>
      <c r="BK115" s="31">
        <f t="shared" si="157"/>
        <v>63.6450306847522</v>
      </c>
      <c r="BL115" s="32">
        <f t="shared" si="152"/>
        <v>35.0091510926922</v>
      </c>
      <c r="BM115" s="31">
        <f t="shared" si="153"/>
        <v>56.344253005709</v>
      </c>
      <c r="BO115">
        <f t="shared" si="154"/>
        <v>0</v>
      </c>
      <c r="BP115">
        <f t="shared" si="155"/>
        <v>0</v>
      </c>
    </row>
    <row r="116" spans="14:68">
      <c r="N116" s="7">
        <v>98</v>
      </c>
      <c r="O116" s="18">
        <f t="shared" si="117"/>
        <v>95.4992586021437</v>
      </c>
      <c r="P116" s="86" t="str">
        <f t="shared" si="105"/>
        <v>54,5454545454545</v>
      </c>
      <c r="Q116" s="4" t="str">
        <f t="shared" si="106"/>
        <v>1+1,22189869657272i</v>
      </c>
      <c r="R116" s="4">
        <f t="shared" si="118"/>
        <v>1.57893521864772</v>
      </c>
      <c r="S116" s="4">
        <f t="shared" si="119"/>
        <v>0.884937064733821</v>
      </c>
      <c r="T116" s="4" t="str">
        <f t="shared" si="107"/>
        <v>1+0,00940861996360996i</v>
      </c>
      <c r="U116" s="4">
        <f t="shared" si="120"/>
        <v>1.00004426008533</v>
      </c>
      <c r="V116" s="4">
        <f t="shared" si="121"/>
        <v>0.00940834235466254</v>
      </c>
      <c r="W116" t="str">
        <f t="shared" si="108"/>
        <v>1-0,027001779232299i</v>
      </c>
      <c r="X116" s="4">
        <f t="shared" si="122"/>
        <v>1.00036448161743</v>
      </c>
      <c r="Y116" s="4">
        <f t="shared" si="123"/>
        <v>-0.0269952198043861</v>
      </c>
      <c r="Z116" t="str">
        <f t="shared" si="109"/>
        <v>0,999999925550136+0,00186440856603969i</v>
      </c>
      <c r="AA116" s="4">
        <f t="shared" si="124"/>
        <v>1.00000166355841</v>
      </c>
      <c r="AB116" s="4">
        <f t="shared" si="125"/>
        <v>0.00186440654460863</v>
      </c>
      <c r="AC116" s="67" t="str">
        <f t="shared" si="126"/>
        <v>21,363699926173-27,165621208558i</v>
      </c>
      <c r="AD116" s="68">
        <f t="shared" si="127"/>
        <v>30.7714203166369</v>
      </c>
      <c r="AE116" s="31">
        <f t="shared" si="128"/>
        <v>-51.817635422929</v>
      </c>
      <c r="AF116" s="32" t="str">
        <f t="shared" si="129"/>
        <v>432,040091031901</v>
      </c>
      <c r="AG116" s="32" t="str">
        <f t="shared" si="110"/>
        <v>1+0,995621160170365i</v>
      </c>
      <c r="AH116" s="32">
        <f t="shared" si="130"/>
        <v>1.41112065202767</v>
      </c>
      <c r="AI116" s="32">
        <f t="shared" si="131"/>
        <v>0.783203942926365</v>
      </c>
      <c r="AJ116" s="32" t="str">
        <f t="shared" si="111"/>
        <v>1+0,00940861996360996i</v>
      </c>
      <c r="AK116" s="32">
        <f t="shared" si="132"/>
        <v>1.00004426008533</v>
      </c>
      <c r="AL116" s="32">
        <f t="shared" si="133"/>
        <v>0.00940834235466254</v>
      </c>
      <c r="AM116" s="32" t="str">
        <f t="shared" si="112"/>
        <v>1-0,00277764332698705i</v>
      </c>
      <c r="AN116" s="32">
        <f t="shared" si="134"/>
        <v>1.00000385764379</v>
      </c>
      <c r="AO116" s="32">
        <f t="shared" si="135"/>
        <v>-0.00277763618356733</v>
      </c>
      <c r="AP116" s="30" t="str">
        <f t="shared" si="136"/>
        <v>218,406113964127-214,584900823548i</v>
      </c>
      <c r="AQ116" s="32">
        <f t="shared" si="137"/>
        <v>49.7196159570972</v>
      </c>
      <c r="AR116" s="31">
        <f t="shared" si="138"/>
        <v>-44.4943689488906</v>
      </c>
      <c r="AS116" t="str">
        <f t="shared" si="113"/>
        <v>-0,000201496259351621</v>
      </c>
      <c r="AT116" t="str">
        <f t="shared" si="114"/>
        <v>0,000134828884299946i</v>
      </c>
      <c r="AU116">
        <f t="shared" si="139"/>
        <v>0.000134828884299946</v>
      </c>
      <c r="AV116">
        <f t="shared" si="140"/>
        <v>1.5707963267949</v>
      </c>
      <c r="AW116" t="str">
        <f t="shared" si="115"/>
        <v>1+0,00690299157548266i</v>
      </c>
      <c r="AX116">
        <f t="shared" si="141"/>
        <v>1.00002382536252</v>
      </c>
      <c r="AY116">
        <f t="shared" si="142"/>
        <v>0.00690288193312673</v>
      </c>
      <c r="AZ116" t="str">
        <f t="shared" si="116"/>
        <v>1+0,330021746172543i</v>
      </c>
      <c r="BA116">
        <f t="shared" si="143"/>
        <v>1.0530500239527</v>
      </c>
      <c r="BB116">
        <f t="shared" si="144"/>
        <v>0.318767170874077</v>
      </c>
      <c r="BC116" s="30" t="str">
        <f t="shared" si="145"/>
        <v>-0,482864769076057+1,49779235791209i</v>
      </c>
      <c r="BD116" s="32">
        <f t="shared" si="146"/>
        <v>3.93845405243195</v>
      </c>
      <c r="BE116" s="31">
        <f t="shared" si="147"/>
        <v>107.868507537165</v>
      </c>
      <c r="BF116" s="30" t="str">
        <f t="shared" si="148"/>
        <v>30,3726818126511+45,115707897827i</v>
      </c>
      <c r="BG116" s="68">
        <f t="shared" si="149"/>
        <v>34.7098743690689</v>
      </c>
      <c r="BH116" s="31">
        <f t="shared" si="150"/>
        <v>56.0508721142359</v>
      </c>
      <c r="BI116" s="30" t="str">
        <f t="shared" si="156"/>
        <v>215,943006792747+430,742497000118i</v>
      </c>
      <c r="BJ116" s="68">
        <f t="shared" si="151"/>
        <v>53.6580700095292</v>
      </c>
      <c r="BK116" s="31">
        <f t="shared" si="157"/>
        <v>63.3741385882742</v>
      </c>
      <c r="BL116" s="32">
        <f t="shared" si="152"/>
        <v>34.7098743690689</v>
      </c>
      <c r="BM116" s="31">
        <f t="shared" si="153"/>
        <v>56.0508721142359</v>
      </c>
      <c r="BO116">
        <f t="shared" si="154"/>
        <v>0</v>
      </c>
      <c r="BP116">
        <f t="shared" si="155"/>
        <v>0</v>
      </c>
    </row>
    <row r="117" spans="14:68">
      <c r="N117" s="7">
        <v>99</v>
      </c>
      <c r="O117" s="18">
        <f t="shared" si="117"/>
        <v>97.7237220955811</v>
      </c>
      <c r="P117" s="86" t="str">
        <f t="shared" si="105"/>
        <v>54,5454545454545</v>
      </c>
      <c r="Q117" s="4" t="str">
        <f t="shared" si="106"/>
        <v>1+1,25036037347985i</v>
      </c>
      <c r="R117" s="4">
        <f t="shared" si="118"/>
        <v>1.60106247959556</v>
      </c>
      <c r="S117" s="4">
        <f t="shared" si="119"/>
        <v>0.896195993405629</v>
      </c>
      <c r="T117" s="4" t="str">
        <f t="shared" si="107"/>
        <v>1+0,00962777487579487i</v>
      </c>
      <c r="U117" s="4">
        <f t="shared" si="120"/>
        <v>1.00004634595056</v>
      </c>
      <c r="V117" s="4">
        <f t="shared" si="121"/>
        <v>0.00962747741319295</v>
      </c>
      <c r="W117" t="str">
        <f t="shared" si="108"/>
        <v>1-0,0276307314675235i</v>
      </c>
      <c r="X117" s="4">
        <f t="shared" si="122"/>
        <v>1.00038165583013</v>
      </c>
      <c r="Y117" s="4">
        <f t="shared" si="123"/>
        <v>-0.0276237030586984</v>
      </c>
      <c r="Z117" t="str">
        <f t="shared" si="109"/>
        <v>0,999999922041422+0,00190783622037662i</v>
      </c>
      <c r="AA117" s="4">
        <f t="shared" si="124"/>
        <v>1.00000174195943</v>
      </c>
      <c r="AB117" s="4">
        <f t="shared" si="125"/>
        <v>0.00190783405437442</v>
      </c>
      <c r="AC117" s="67" t="str">
        <f t="shared" si="126"/>
        <v>20,7536474135716-27,0356053983793i</v>
      </c>
      <c r="AD117" s="68">
        <f t="shared" si="127"/>
        <v>30.6507075068099</v>
      </c>
      <c r="AE117" s="31">
        <f t="shared" si="128"/>
        <v>-52.4886666546563</v>
      </c>
      <c r="AF117" s="32" t="str">
        <f t="shared" si="129"/>
        <v>432,040091031901</v>
      </c>
      <c r="AG117" s="32" t="str">
        <f t="shared" si="110"/>
        <v>1+1,01881215616877i</v>
      </c>
      <c r="AH117" s="32">
        <f t="shared" si="130"/>
        <v>1.42757774203623</v>
      </c>
      <c r="AI117" s="32">
        <f t="shared" si="131"/>
        <v>0.794716321916398</v>
      </c>
      <c r="AJ117" s="32" t="str">
        <f t="shared" si="111"/>
        <v>1+0,00962777487579487i</v>
      </c>
      <c r="AK117" s="32">
        <f t="shared" si="132"/>
        <v>1.00004634595056</v>
      </c>
      <c r="AL117" s="32">
        <f t="shared" si="133"/>
        <v>0.00962747741319295</v>
      </c>
      <c r="AM117" s="32" t="str">
        <f t="shared" si="112"/>
        <v>1-0,00284234295156124i</v>
      </c>
      <c r="AN117" s="32">
        <f t="shared" si="134"/>
        <v>1.00000403944857</v>
      </c>
      <c r="AO117" s="32">
        <f t="shared" si="135"/>
        <v>-0.00284233529725077</v>
      </c>
      <c r="AP117" s="30" t="str">
        <f t="shared" si="136"/>
        <v>213,465796591581-214,549969867516i</v>
      </c>
      <c r="AQ117" s="32">
        <f t="shared" si="137"/>
        <v>49.6189232494857</v>
      </c>
      <c r="AR117" s="31">
        <f t="shared" si="138"/>
        <v>-45.1451311493297</v>
      </c>
      <c r="AS117" t="str">
        <f t="shared" si="113"/>
        <v>-0,000201496259351621</v>
      </c>
      <c r="AT117" t="str">
        <f t="shared" si="114"/>
        <v>0,000137969452461168i</v>
      </c>
      <c r="AU117">
        <f t="shared" si="139"/>
        <v>0.000137969452461168</v>
      </c>
      <c r="AV117">
        <f t="shared" si="140"/>
        <v>1.5707963267949</v>
      </c>
      <c r="AW117" t="str">
        <f t="shared" si="115"/>
        <v>1+0,00706378290496448i</v>
      </c>
      <c r="AX117">
        <f t="shared" si="141"/>
        <v>1.00002494820326</v>
      </c>
      <c r="AY117">
        <f t="shared" si="142"/>
        <v>0.00706366542122173</v>
      </c>
      <c r="AZ117" t="str">
        <f t="shared" si="116"/>
        <v>1+0,33770894015862i</v>
      </c>
      <c r="BA117">
        <f t="shared" si="143"/>
        <v>1.05548440455701</v>
      </c>
      <c r="BB117">
        <f t="shared" si="144"/>
        <v>0.325683417636613</v>
      </c>
      <c r="BC117" s="30" t="str">
        <f t="shared" si="145"/>
        <v>-0,482863684743249+1,4638519473789i</v>
      </c>
      <c r="BD117" s="32">
        <f t="shared" si="146"/>
        <v>3.75850066726944</v>
      </c>
      <c r="BE117" s="31">
        <f t="shared" si="147"/>
        <v>108.255567071446</v>
      </c>
      <c r="BF117" s="30" t="str">
        <f t="shared" si="148"/>
        <v>29,5549409490057+43,4347792234978i</v>
      </c>
      <c r="BG117" s="68">
        <f t="shared" si="149"/>
        <v>34.4092081740794</v>
      </c>
      <c r="BH117" s="31">
        <f t="shared" si="150"/>
        <v>55.7669004167896</v>
      </c>
      <c r="BI117" s="30" t="str">
        <f t="shared" si="156"/>
        <v>210,994510091784+416,080711051156i</v>
      </c>
      <c r="BJ117" s="68">
        <f t="shared" si="151"/>
        <v>53.3774239167552</v>
      </c>
      <c r="BK117" s="31">
        <f t="shared" si="157"/>
        <v>63.1104359221162</v>
      </c>
      <c r="BL117" s="32">
        <f t="shared" si="152"/>
        <v>34.4092081740794</v>
      </c>
      <c r="BM117" s="31">
        <f t="shared" si="153"/>
        <v>55.7669004167896</v>
      </c>
      <c r="BO117">
        <f t="shared" si="154"/>
        <v>0</v>
      </c>
      <c r="BP117">
        <f t="shared" si="155"/>
        <v>0</v>
      </c>
    </row>
    <row r="118" spans="14:68">
      <c r="N118" s="7">
        <v>100</v>
      </c>
      <c r="O118" s="18">
        <f t="shared" si="117"/>
        <v>100</v>
      </c>
      <c r="P118" s="86" t="str">
        <f t="shared" si="105"/>
        <v>54,5454545454545</v>
      </c>
      <c r="Q118" s="4" t="str">
        <f t="shared" si="106"/>
        <v>1+1,27948500800748i</v>
      </c>
      <c r="R118" s="4">
        <f t="shared" si="118"/>
        <v>1.62390944504794</v>
      </c>
      <c r="S118" s="4">
        <f t="shared" si="119"/>
        <v>0.907398094289663</v>
      </c>
      <c r="T118" s="4" t="str">
        <f t="shared" si="107"/>
        <v>1+0,0098520345616576i</v>
      </c>
      <c r="U118" s="4">
        <f t="shared" si="120"/>
        <v>1.00004853011492</v>
      </c>
      <c r="V118" s="4">
        <f t="shared" si="121"/>
        <v>0.00985171582557244</v>
      </c>
      <c r="W118" t="str">
        <f t="shared" si="108"/>
        <v>1-0,0282743338823082i</v>
      </c>
      <c r="X118" s="4">
        <f t="shared" si="122"/>
        <v>1.00039963912253</v>
      </c>
      <c r="Y118" s="4">
        <f t="shared" si="123"/>
        <v>-0.0282668029690437</v>
      </c>
      <c r="Z118" t="str">
        <f t="shared" si="109"/>
        <v>0,999999918367347+0,0019522754347308i</v>
      </c>
      <c r="AA118" s="4">
        <f t="shared" si="124"/>
        <v>1.00000182405537</v>
      </c>
      <c r="AB118" s="4">
        <f t="shared" si="125"/>
        <v>0.00195227311381786</v>
      </c>
      <c r="AC118" s="67" t="str">
        <f t="shared" si="126"/>
        <v>20,1497373541414-26,8926528278939i</v>
      </c>
      <c r="AD118" s="68">
        <f t="shared" si="127"/>
        <v>30.5278113502687</v>
      </c>
      <c r="AE118" s="31">
        <f t="shared" si="128"/>
        <v>-53.1570449235769</v>
      </c>
      <c r="AF118" s="32" t="str">
        <f t="shared" si="129"/>
        <v>432,040091031901</v>
      </c>
      <c r="AG118" s="32" t="str">
        <f t="shared" si="110"/>
        <v>1+1,04254333985795i</v>
      </c>
      <c r="AH118" s="32">
        <f t="shared" si="130"/>
        <v>1.44460950276612</v>
      </c>
      <c r="AI118" s="32">
        <f t="shared" si="131"/>
        <v>0.806223762748005</v>
      </c>
      <c r="AJ118" s="32" t="str">
        <f t="shared" si="111"/>
        <v>1+0,0098520345616576i</v>
      </c>
      <c r="AK118" s="32">
        <f t="shared" si="132"/>
        <v>1.00004853011492</v>
      </c>
      <c r="AL118" s="32">
        <f t="shared" si="133"/>
        <v>0.00985171582557244</v>
      </c>
      <c r="AM118" s="32" t="str">
        <f t="shared" si="112"/>
        <v>1-0,00290854962399121i</v>
      </c>
      <c r="AN118" s="32">
        <f t="shared" si="134"/>
        <v>1.00000422982151</v>
      </c>
      <c r="AO118" s="32">
        <f t="shared" si="135"/>
        <v>-0.00290854142225165</v>
      </c>
      <c r="AP118" s="30" t="str">
        <f t="shared" si="136"/>
        <v>208,529716355597-214,401403084448i</v>
      </c>
      <c r="AQ118" s="32">
        <f t="shared" si="137"/>
        <v>49.5159298877192</v>
      </c>
      <c r="AR118" s="31">
        <f t="shared" si="138"/>
        <v>-45.7954043588839</v>
      </c>
      <c r="AS118" t="str">
        <f t="shared" si="113"/>
        <v>-0,000201496259351621</v>
      </c>
      <c r="AT118" t="str">
        <f t="shared" si="114"/>
        <v>0,000141183173852325i</v>
      </c>
      <c r="AU118">
        <f t="shared" si="139"/>
        <v>0.000141183173852325</v>
      </c>
      <c r="AV118">
        <f t="shared" si="140"/>
        <v>1.5707963267949</v>
      </c>
      <c r="AW118" t="str">
        <f t="shared" si="115"/>
        <v>1+0,00722831954564274i</v>
      </c>
      <c r="AX118">
        <f t="shared" si="141"/>
        <v>1.0000261239605</v>
      </c>
      <c r="AY118">
        <f t="shared" si="142"/>
        <v>0.00722819365972194</v>
      </c>
      <c r="AZ118" t="str">
        <f t="shared" si="116"/>
        <v>1+0,345575191894877i</v>
      </c>
      <c r="BA118">
        <f t="shared" si="143"/>
        <v>1.05802751063154</v>
      </c>
      <c r="BB118">
        <f t="shared" si="144"/>
        <v>0.332727471223119</v>
      </c>
      <c r="BC118" s="30" t="str">
        <f t="shared" si="145"/>
        <v>-0,482862549312637+1,43068768980248i</v>
      </c>
      <c r="BD118" s="32">
        <f t="shared" si="146"/>
        <v>3.57939324645111</v>
      </c>
      <c r="BE118" s="31">
        <f t="shared" si="147"/>
        <v>108.64973483894</v>
      </c>
      <c r="BF118" s="30" t="str">
        <f t="shared" si="148"/>
        <v>28,7454338001989+41,8134360875798i</v>
      </c>
      <c r="BG118" s="68">
        <f t="shared" si="149"/>
        <v>34.1072045967199</v>
      </c>
      <c r="BH118" s="31">
        <f t="shared" si="150"/>
        <v>55.492689915363</v>
      </c>
      <c r="BI118" s="30" t="str">
        <f t="shared" si="156"/>
        <v>206,050257622395+401,867306217518i</v>
      </c>
      <c r="BJ118" s="68">
        <f t="shared" si="151"/>
        <v>53.0953231341703</v>
      </c>
      <c r="BK118" s="31">
        <f t="shared" si="157"/>
        <v>62.854330480056</v>
      </c>
      <c r="BL118" s="32">
        <f t="shared" si="152"/>
        <v>34.1072045967199</v>
      </c>
      <c r="BM118" s="31">
        <f t="shared" si="153"/>
        <v>55.492689915363</v>
      </c>
      <c r="BO118">
        <f t="shared" si="154"/>
        <v>0</v>
      </c>
      <c r="BP118">
        <f t="shared" si="155"/>
        <v>0</v>
      </c>
    </row>
    <row r="119" spans="14:68">
      <c r="N119" s="7">
        <v>1</v>
      </c>
      <c r="O119" s="18">
        <f>10^(2+(N119/100))</f>
        <v>102.329299228075</v>
      </c>
      <c r="P119" s="86" t="str">
        <f t="shared" si="105"/>
        <v>54,5454545454545</v>
      </c>
      <c r="Q119" s="4" t="str">
        <f t="shared" si="106"/>
        <v>1+1,30928804242233i</v>
      </c>
      <c r="R119" s="4">
        <f t="shared" si="118"/>
        <v>1.64749360485256</v>
      </c>
      <c r="S119" s="4">
        <f t="shared" si="119"/>
        <v>0.918538061734802</v>
      </c>
      <c r="T119" s="4" t="str">
        <f t="shared" si="107"/>
        <v>1+0,010081517926652i</v>
      </c>
      <c r="U119" s="4">
        <f t="shared" si="120"/>
        <v>1.00005081721066</v>
      </c>
      <c r="V119" s="4">
        <f t="shared" si="121"/>
        <v>0.0100811763957208</v>
      </c>
      <c r="W119" t="str">
        <f t="shared" si="108"/>
        <v>1-0,0289329277231721i</v>
      </c>
      <c r="X119" s="4">
        <f t="shared" si="122"/>
        <v>1.00041846959492</v>
      </c>
      <c r="Y119" s="4">
        <f t="shared" si="123"/>
        <v>-0.0289248583865155</v>
      </c>
      <c r="Z119" t="str">
        <f t="shared" si="109"/>
        <v>0,999999914520118+0,00199774977136188i</v>
      </c>
      <c r="AA119" s="4">
        <f t="shared" si="124"/>
        <v>1.00000191002037</v>
      </c>
      <c r="AB119" s="4">
        <f t="shared" si="125"/>
        <v>0.00199774728445912</v>
      </c>
      <c r="AC119" s="67" t="str">
        <f t="shared" si="126"/>
        <v>19,5525076675866-26,7371187264945i</v>
      </c>
      <c r="AD119" s="68">
        <f t="shared" si="127"/>
        <v>30.402755367183</v>
      </c>
      <c r="AE119" s="31">
        <f t="shared" si="128"/>
        <v>-53.8224801960236</v>
      </c>
      <c r="AF119" s="32" t="str">
        <f t="shared" si="129"/>
        <v>432,040091031901</v>
      </c>
      <c r="AG119" s="32" t="str">
        <f t="shared" si="110"/>
        <v>1+1,0668272938256i</v>
      </c>
      <c r="AH119" s="32">
        <f t="shared" si="130"/>
        <v>1.46223133424614</v>
      </c>
      <c r="AI119" s="32">
        <f t="shared" si="131"/>
        <v>0.81772017725544</v>
      </c>
      <c r="AJ119" s="32" t="str">
        <f t="shared" si="111"/>
        <v>1+0,010081517926652i</v>
      </c>
      <c r="AK119" s="32">
        <f t="shared" si="132"/>
        <v>1.00005081721066</v>
      </c>
      <c r="AL119" s="32">
        <f t="shared" si="133"/>
        <v>0.0100811763957208</v>
      </c>
      <c r="AM119" s="32" t="str">
        <f t="shared" si="112"/>
        <v>1-0,00297629844793102i</v>
      </c>
      <c r="AN119" s="32">
        <f t="shared" si="134"/>
        <v>1.00000442916642</v>
      </c>
      <c r="AO119" s="32">
        <f t="shared" si="135"/>
        <v>-0.00297628965961085</v>
      </c>
      <c r="AP119" s="30" t="str">
        <f t="shared" si="136"/>
        <v>203,603090584646-214,139594472558i</v>
      </c>
      <c r="AQ119" s="32">
        <f t="shared" si="137"/>
        <v>49.4106391070493</v>
      </c>
      <c r="AR119" s="31">
        <f t="shared" si="138"/>
        <v>-46.4448349555287</v>
      </c>
      <c r="AS119" t="str">
        <f t="shared" si="113"/>
        <v>-0,000201496259351621</v>
      </c>
      <c r="AT119" t="str">
        <f t="shared" si="114"/>
        <v>0,000144471752431039i</v>
      </c>
      <c r="AU119">
        <f t="shared" si="139"/>
        <v>0.000144471752431039</v>
      </c>
      <c r="AV119">
        <f t="shared" si="140"/>
        <v>1.5707963267949</v>
      </c>
      <c r="AW119" t="str">
        <f t="shared" si="115"/>
        <v>1+0,00739668873702219i</v>
      </c>
      <c r="AX119">
        <f t="shared" si="141"/>
        <v>1.00002735512798</v>
      </c>
      <c r="AY119">
        <f t="shared" si="142"/>
        <v>0.00739655384802708</v>
      </c>
      <c r="AZ119" t="str">
        <f t="shared" si="116"/>
        <v>1+0,353624672172103i</v>
      </c>
      <c r="BA119">
        <f t="shared" si="143"/>
        <v>1.06068393443515</v>
      </c>
      <c r="BB119">
        <f t="shared" si="144"/>
        <v>0.339900269438073</v>
      </c>
      <c r="BC119" s="30" t="str">
        <f t="shared" si="145"/>
        <v>-0,482861360376548+1,39828200100283i</v>
      </c>
      <c r="BD119" s="32">
        <f t="shared" si="146"/>
        <v>3.40116316506355</v>
      </c>
      <c r="BE119" s="31">
        <f t="shared" si="147"/>
        <v>109.051059575728</v>
      </c>
      <c r="BF119" s="30" t="str">
        <f t="shared" si="148"/>
        <v>27,9448814227892+40,2502410668806i</v>
      </c>
      <c r="BG119" s="68">
        <f t="shared" si="149"/>
        <v>33.8039185322466</v>
      </c>
      <c r="BH119" s="31">
        <f t="shared" si="150"/>
        <v>55.2285793797043</v>
      </c>
      <c r="BI119" s="30" t="str">
        <f t="shared" si="156"/>
        <v>201,115475356451+388,094272810561i</v>
      </c>
      <c r="BJ119" s="68">
        <f t="shared" si="151"/>
        <v>52.8118022721128</v>
      </c>
      <c r="BK119" s="31">
        <f t="shared" si="157"/>
        <v>62.6062246201993</v>
      </c>
      <c r="BL119" s="32">
        <f t="shared" si="152"/>
        <v>33.8039185322466</v>
      </c>
      <c r="BM119" s="31">
        <f t="shared" si="153"/>
        <v>55.2285793797043</v>
      </c>
      <c r="BO119">
        <f t="shared" si="154"/>
        <v>0</v>
      </c>
      <c r="BP119">
        <f t="shared" si="155"/>
        <v>0</v>
      </c>
    </row>
    <row r="120" spans="14:68">
      <c r="N120" s="7">
        <v>2</v>
      </c>
      <c r="O120" s="18">
        <f t="shared" ref="O120:O183" si="158">10^(2+(N120/100))</f>
        <v>104.71285480509</v>
      </c>
      <c r="P120" s="86" t="str">
        <f t="shared" si="105"/>
        <v>54,5454545454545</v>
      </c>
      <c r="Q120" s="4" t="str">
        <f t="shared" si="106"/>
        <v>1+1,33978527868777i</v>
      </c>
      <c r="R120" s="4">
        <f t="shared" si="118"/>
        <v>1.67183270484474</v>
      </c>
      <c r="S120" s="4">
        <f t="shared" si="119"/>
        <v>0.929610743150006</v>
      </c>
      <c r="T120" s="4" t="str">
        <f t="shared" si="107"/>
        <v>1+0,0103163466458958i</v>
      </c>
      <c r="U120" s="4">
        <f t="shared" si="120"/>
        <v>1.0000532120883</v>
      </c>
      <c r="V120" s="4">
        <f t="shared" si="121"/>
        <v>0.0103159806899613</v>
      </c>
      <c r="W120" t="str">
        <f t="shared" si="108"/>
        <v>1-0,0296068621852877i</v>
      </c>
      <c r="X120" s="4">
        <f t="shared" si="122"/>
        <v>1.00043818714024</v>
      </c>
      <c r="Y120" s="4">
        <f t="shared" si="123"/>
        <v>-0.0295982159398038</v>
      </c>
      <c r="Z120" t="str">
        <f t="shared" si="109"/>
        <v>0,999999910491576+0,0020442833413651i</v>
      </c>
      <c r="AA120" s="4">
        <f t="shared" si="124"/>
        <v>1.00000200003677</v>
      </c>
      <c r="AB120" s="4">
        <f t="shared" si="125"/>
        <v>0.00204428067660106</v>
      </c>
      <c r="AC120" s="67" t="str">
        <f t="shared" si="126"/>
        <v>18,9624704448493-26,5693843608012i</v>
      </c>
      <c r="AD120" s="68">
        <f t="shared" si="127"/>
        <v>30.2755649906699</v>
      </c>
      <c r="AE120" s="31">
        <f t="shared" si="128"/>
        <v>-54.4846915268192</v>
      </c>
      <c r="AF120" s="32" t="str">
        <f t="shared" si="129"/>
        <v>432,040091031901</v>
      </c>
      <c r="AG120" s="32" t="str">
        <f t="shared" si="110"/>
        <v>1+1,09167689374559i</v>
      </c>
      <c r="AH120" s="32">
        <f t="shared" si="130"/>
        <v>1.48045886141359</v>
      </c>
      <c r="AI120" s="32">
        <f t="shared" si="131"/>
        <v>0.829199506417488</v>
      </c>
      <c r="AJ120" s="32" t="str">
        <f t="shared" si="111"/>
        <v>1+0,0103163466458958i</v>
      </c>
      <c r="AK120" s="32">
        <f t="shared" si="132"/>
        <v>1.0000532120883</v>
      </c>
      <c r="AL120" s="32">
        <f t="shared" si="133"/>
        <v>0.0103159806899613</v>
      </c>
      <c r="AM120" s="32" t="str">
        <f t="shared" si="112"/>
        <v>1-0,00304562534470391i</v>
      </c>
      <c r="AN120" s="32">
        <f t="shared" si="134"/>
        <v>1.00000463790611</v>
      </c>
      <c r="AO120" s="32">
        <f t="shared" si="135"/>
        <v>-0.00304561592785154</v>
      </c>
      <c r="AP120" s="30" t="str">
        <f t="shared" si="136"/>
        <v>198,691096655914-213,765236119399i</v>
      </c>
      <c r="AQ120" s="32">
        <f t="shared" si="137"/>
        <v>49.3030565677913</v>
      </c>
      <c r="AR120" s="31">
        <f t="shared" si="138"/>
        <v>-47.0930708756636</v>
      </c>
      <c r="AS120" t="str">
        <f t="shared" si="113"/>
        <v>-0,000201496259351621</v>
      </c>
      <c r="AT120" t="str">
        <f t="shared" si="114"/>
        <v>0,000147836931845203i</v>
      </c>
      <c r="AU120">
        <f t="shared" si="139"/>
        <v>0.000147836931845203</v>
      </c>
      <c r="AV120">
        <f t="shared" si="140"/>
        <v>1.5707963267949</v>
      </c>
      <c r="AW120" t="str">
        <f t="shared" si="115"/>
        <v>1+0,00756897975067682i</v>
      </c>
      <c r="AX120">
        <f t="shared" si="141"/>
        <v>1.00002864431698</v>
      </c>
      <c r="AY120">
        <f t="shared" si="142"/>
        <v>0.00756883521473809</v>
      </c>
      <c r="AZ120" t="str">
        <f t="shared" si="116"/>
        <v>1+0,361861648931294i</v>
      </c>
      <c r="BA120">
        <f t="shared" si="143"/>
        <v>1.06345843969911</v>
      </c>
      <c r="BB120">
        <f t="shared" si="144"/>
        <v>0.347202662189574</v>
      </c>
      <c r="BC120" s="30" t="str">
        <f t="shared" si="145"/>
        <v>-0,482860115413904+1,36661769899946i</v>
      </c>
      <c r="BD120" s="32">
        <f t="shared" si="146"/>
        <v>3.22384259375269</v>
      </c>
      <c r="BE120" s="31">
        <f t="shared" si="147"/>
        <v>109.459584865535</v>
      </c>
      <c r="BF120" s="30" t="str">
        <f t="shared" si="148"/>
        <v>27,1539702514577+38,7437437256181i</v>
      </c>
      <c r="BG120" s="68">
        <f t="shared" si="149"/>
        <v>33.4994075844226</v>
      </c>
      <c r="BH120" s="31">
        <f t="shared" si="150"/>
        <v>54.9748933387154</v>
      </c>
      <c r="BI120" s="30" t="str">
        <f t="shared" si="156"/>
        <v>196,19534924858+374,753475907678i</v>
      </c>
      <c r="BJ120" s="68">
        <f t="shared" si="151"/>
        <v>52.526899161544</v>
      </c>
      <c r="BK120" s="31">
        <f t="shared" si="157"/>
        <v>62.3665139898709</v>
      </c>
      <c r="BL120" s="32">
        <f t="shared" si="152"/>
        <v>33.4994075844226</v>
      </c>
      <c r="BM120" s="31">
        <f t="shared" si="153"/>
        <v>54.9748933387154</v>
      </c>
      <c r="BO120">
        <f t="shared" si="154"/>
        <v>0</v>
      </c>
      <c r="BP120">
        <f t="shared" si="155"/>
        <v>0</v>
      </c>
    </row>
    <row r="121" spans="14:68">
      <c r="N121" s="7">
        <v>3</v>
      </c>
      <c r="O121" s="18">
        <f t="shared" si="158"/>
        <v>107.151930523761</v>
      </c>
      <c r="P121" s="86" t="str">
        <f t="shared" si="105"/>
        <v>54,5454545454545</v>
      </c>
      <c r="Q121" s="4" t="str">
        <f t="shared" si="106"/>
        <v>1+1,37099288684211i</v>
      </c>
      <c r="R121" s="4">
        <f t="shared" si="118"/>
        <v>1.69694475330568</v>
      </c>
      <c r="S121" s="4">
        <f t="shared" si="119"/>
        <v>0.940611149372846</v>
      </c>
      <c r="T121" s="4" t="str">
        <f t="shared" si="107"/>
        <v>1+0,0105566452286843i</v>
      </c>
      <c r="U121" s="4">
        <f t="shared" si="120"/>
        <v>1.00005571982689</v>
      </c>
      <c r="V121" s="4">
        <f t="shared" si="121"/>
        <v>0.0105562531010156</v>
      </c>
      <c r="W121" t="str">
        <f t="shared" si="108"/>
        <v>1-0,0302964945976271i</v>
      </c>
      <c r="X121" s="4">
        <f t="shared" si="122"/>
        <v>1.00045883352835</v>
      </c>
      <c r="Y121" s="4">
        <f t="shared" si="123"/>
        <v>-0.03028723020814</v>
      </c>
      <c r="Z121" t="str">
        <f t="shared" si="109"/>
        <v>0,999999906273174+0,0020919008174552i</v>
      </c>
      <c r="AA121" s="4">
        <f t="shared" si="124"/>
        <v>1.0000020942955</v>
      </c>
      <c r="AB121" s="4">
        <f t="shared" si="125"/>
        <v>0.00209189796210942</v>
      </c>
      <c r="AC121" s="67" t="str">
        <f t="shared" si="126"/>
        <v>18,3801104648468-26,3898548488989i</v>
      </c>
      <c r="AD121" s="68">
        <f t="shared" si="127"/>
        <v>30.1462674716335</v>
      </c>
      <c r="AE121" s="31">
        <f t="shared" si="128"/>
        <v>-55.1434076603218</v>
      </c>
      <c r="AF121" s="32" t="str">
        <f t="shared" si="129"/>
        <v>432,040091031901</v>
      </c>
      <c r="AG121" s="32" t="str">
        <f t="shared" si="110"/>
        <v>1+1,11710531520468i</v>
      </c>
      <c r="AH121" s="32">
        <f t="shared" si="130"/>
        <v>1.49930793543506</v>
      </c>
      <c r="AI121" s="32">
        <f t="shared" si="131"/>
        <v>0.840655736240183</v>
      </c>
      <c r="AJ121" s="32" t="str">
        <f t="shared" si="111"/>
        <v>1+0,0105566452286843i</v>
      </c>
      <c r="AK121" s="32">
        <f t="shared" si="132"/>
        <v>1.00005571982689</v>
      </c>
      <c r="AL121" s="32">
        <f t="shared" si="133"/>
        <v>0.0105562531010156</v>
      </c>
      <c r="AM121" s="32" t="str">
        <f t="shared" si="112"/>
        <v>1-0,00311656707234818i</v>
      </c>
      <c r="AN121" s="32">
        <f t="shared" si="134"/>
        <v>1.00000485648337</v>
      </c>
      <c r="AO121" s="32">
        <f t="shared" si="135"/>
        <v>-0.00311655698201172</v>
      </c>
      <c r="AP121" s="30" t="str">
        <f t="shared" si="136"/>
        <v>193,798850343975-213,279313755862i</v>
      </c>
      <c r="AQ121" s="32">
        <f t="shared" si="137"/>
        <v>49.1931903317403</v>
      </c>
      <c r="AR121" s="31">
        <f t="shared" si="138"/>
        <v>-47.7397625215465</v>
      </c>
      <c r="AS121" t="str">
        <f t="shared" si="113"/>
        <v>-0,000201496259351621</v>
      </c>
      <c r="AT121" t="str">
        <f t="shared" si="114"/>
        <v>0,000151280496357484i</v>
      </c>
      <c r="AU121">
        <f t="shared" si="139"/>
        <v>0.000151280496357484</v>
      </c>
      <c r="AV121">
        <f t="shared" si="140"/>
        <v>1.5707963267949</v>
      </c>
      <c r="AW121" t="str">
        <f t="shared" si="115"/>
        <v>1+0,00774528393758255i</v>
      </c>
      <c r="AX121">
        <f t="shared" si="141"/>
        <v>1.00002999426181</v>
      </c>
      <c r="AY121">
        <f t="shared" si="142"/>
        <v>0.00774512906478478</v>
      </c>
      <c r="AZ121" t="str">
        <f t="shared" si="116"/>
        <v>1+0,370290489526552i</v>
      </c>
      <c r="BA121">
        <f t="shared" si="143"/>
        <v>1.06635596619225</v>
      </c>
      <c r="BB121">
        <f t="shared" si="144"/>
        <v>0.354635405147104</v>
      </c>
      <c r="BC121" s="30" t="str">
        <f t="shared" si="145"/>
        <v>-0,482858811784856+1,33567799490105i</v>
      </c>
      <c r="BD121" s="32">
        <f t="shared" si="146"/>
        <v>3.04746448740414</v>
      </c>
      <c r="BE121" s="31">
        <f t="shared" si="147"/>
        <v>109.875348773645</v>
      </c>
      <c r="BF121" s="30" t="str">
        <f t="shared" si="148"/>
        <v>26,3733501107767+37,2924830472605i</v>
      </c>
      <c r="BG121" s="68">
        <f t="shared" si="149"/>
        <v>33.1937319590377</v>
      </c>
      <c r="BH121" s="31">
        <f t="shared" si="150"/>
        <v>54.7319411133231</v>
      </c>
      <c r="BI121" s="30" t="str">
        <f t="shared" si="156"/>
        <v>191,295003548939+361,836655860014i</v>
      </c>
      <c r="BJ121" s="68">
        <f t="shared" si="151"/>
        <v>52.2406548191444</v>
      </c>
      <c r="BK121" s="31">
        <f t="shared" si="157"/>
        <v>62.1355862520983</v>
      </c>
      <c r="BL121" s="32">
        <f t="shared" si="152"/>
        <v>33.1937319590377</v>
      </c>
      <c r="BM121" s="31">
        <f t="shared" si="153"/>
        <v>54.7319411133231</v>
      </c>
      <c r="BO121">
        <f t="shared" si="154"/>
        <v>0</v>
      </c>
      <c r="BP121">
        <f t="shared" si="155"/>
        <v>0</v>
      </c>
    </row>
    <row r="122" spans="14:68">
      <c r="N122" s="7">
        <v>4</v>
      </c>
      <c r="O122" s="18">
        <f t="shared" si="158"/>
        <v>109.647819614319</v>
      </c>
      <c r="P122" s="86" t="str">
        <f t="shared" si="105"/>
        <v>54,5454545454545</v>
      </c>
      <c r="Q122" s="4" t="str">
        <f t="shared" si="106"/>
        <v>1+1,4029274135723i</v>
      </c>
      <c r="R122" s="4">
        <f t="shared" si="118"/>
        <v>1.7228480280491</v>
      </c>
      <c r="S122" s="4">
        <f t="shared" si="119"/>
        <v>0.951534464111369</v>
      </c>
      <c r="T122" s="4" t="str">
        <f t="shared" si="107"/>
        <v>1+0,0108025410845067i</v>
      </c>
      <c r="U122" s="4">
        <f t="shared" si="120"/>
        <v>1.00005834574483</v>
      </c>
      <c r="V122" s="4">
        <f t="shared" si="121"/>
        <v>0.0108021209134636</v>
      </c>
      <c r="W122" t="str">
        <f t="shared" si="108"/>
        <v>1-0,0310021906124235i</v>
      </c>
      <c r="X122" s="4">
        <f t="shared" si="122"/>
        <v>1.00048045249408</v>
      </c>
      <c r="Y122" s="4">
        <f t="shared" si="123"/>
        <v>-0.030992263897687</v>
      </c>
      <c r="Z122" t="str">
        <f t="shared" si="109"/>
        <v>0,999999901855965+0,00214062744704829i</v>
      </c>
      <c r="AA122" s="4">
        <f t="shared" si="124"/>
        <v>1.0000021929965</v>
      </c>
      <c r="AB122" s="4">
        <f t="shared" si="125"/>
        <v>0.00214062438749052</v>
      </c>
      <c r="AC122" s="67" t="str">
        <f t="shared" si="126"/>
        <v>17,8058839218603-26,1989568899583i</v>
      </c>
      <c r="AD122" s="68">
        <f t="shared" si="127"/>
        <v>30.0148917786655</v>
      </c>
      <c r="AE122" s="31">
        <f t="shared" si="128"/>
        <v>-55.7983675785115</v>
      </c>
      <c r="AF122" s="32" t="str">
        <f t="shared" si="129"/>
        <v>432,040091031901</v>
      </c>
      <c r="AG122" s="32" t="str">
        <f t="shared" si="110"/>
        <v>1+1,14312604068854i</v>
      </c>
      <c r="AH122" s="32">
        <f t="shared" si="130"/>
        <v>1.51879463552524</v>
      </c>
      <c r="AI122" s="32">
        <f t="shared" si="131"/>
        <v>0.852082913351074</v>
      </c>
      <c r="AJ122" s="32" t="str">
        <f t="shared" si="111"/>
        <v>1+0,0108025410845067i</v>
      </c>
      <c r="AK122" s="32">
        <f t="shared" si="132"/>
        <v>1.00005834574483</v>
      </c>
      <c r="AL122" s="32">
        <f t="shared" si="133"/>
        <v>0.0108021209134636</v>
      </c>
      <c r="AM122" s="32" t="str">
        <f t="shared" si="112"/>
        <v>1-0,00318916124510684i</v>
      </c>
      <c r="AN122" s="32">
        <f t="shared" si="134"/>
        <v>1.00000508536179</v>
      </c>
      <c r="AO122" s="32">
        <f t="shared" si="135"/>
        <v>-0.0031891504331195</v>
      </c>
      <c r="AP122" s="30" t="str">
        <f t="shared" si="136"/>
        <v>188,931384718646-212,683100456354i</v>
      </c>
      <c r="AQ122" s="32">
        <f t="shared" si="137"/>
        <v>49.0810508286209</v>
      </c>
      <c r="AR122" s="31">
        <f t="shared" si="138"/>
        <v>-48.3845636521465</v>
      </c>
      <c r="AS122" t="str">
        <f t="shared" si="113"/>
        <v>-0,000201496259351621</v>
      </c>
      <c r="AT122" t="str">
        <f t="shared" si="114"/>
        <v>0,000154804271791368i</v>
      </c>
      <c r="AU122">
        <f t="shared" si="139"/>
        <v>0.000154804271791368</v>
      </c>
      <c r="AV122">
        <f t="shared" si="140"/>
        <v>1.5707963267949</v>
      </c>
      <c r="AW122" t="str">
        <f t="shared" si="115"/>
        <v>1+0,00792569477655292i</v>
      </c>
      <c r="AX122">
        <f t="shared" si="141"/>
        <v>1.00003140782562</v>
      </c>
      <c r="AY122">
        <f t="shared" si="142"/>
        <v>0.00792552882764174</v>
      </c>
      <c r="AZ122" t="str">
        <f t="shared" si="116"/>
        <v>1+0,378915663040731i</v>
      </c>
      <c r="BA122">
        <f t="shared" si="143"/>
        <v>1.06938163426234</v>
      </c>
      <c r="BB122">
        <f t="shared" si="144"/>
        <v>0.362199153255307</v>
      </c>
      <c r="BC122" s="30" t="str">
        <f t="shared" si="145"/>
        <v>-0,482857446725211+1,30544648400342i</v>
      </c>
      <c r="BD122" s="32">
        <f t="shared" si="146"/>
        <v>2.8720625705773</v>
      </c>
      <c r="BE122" s="31">
        <f t="shared" si="147"/>
        <v>110.298383472508</v>
      </c>
      <c r="BF122" s="30" t="str">
        <f t="shared" si="148"/>
        <v>25,6036325093583+35,8949899911147i</v>
      </c>
      <c r="BG122" s="68">
        <f t="shared" si="149"/>
        <v>32.8869543492428</v>
      </c>
      <c r="BH122" s="31">
        <f t="shared" si="150"/>
        <v>54.5000158939966</v>
      </c>
      <c r="BI122" s="30" t="str">
        <f t="shared" si="156"/>
        <v>186,419479666189+349,335430746811i</v>
      </c>
      <c r="BJ122" s="68">
        <f t="shared" si="151"/>
        <v>51.9531133991982</v>
      </c>
      <c r="BK122" s="31">
        <f t="shared" si="157"/>
        <v>61.9138198203617</v>
      </c>
      <c r="BL122" s="32">
        <f t="shared" si="152"/>
        <v>32.8869543492428</v>
      </c>
      <c r="BM122" s="31">
        <f t="shared" si="153"/>
        <v>54.5000158939966</v>
      </c>
      <c r="BO122">
        <f t="shared" si="154"/>
        <v>0</v>
      </c>
      <c r="BP122">
        <f t="shared" si="155"/>
        <v>0</v>
      </c>
    </row>
    <row r="123" spans="14:68">
      <c r="N123" s="7">
        <v>5</v>
      </c>
      <c r="O123" s="18">
        <f t="shared" si="158"/>
        <v>112.201845430196</v>
      </c>
      <c r="P123" s="86" t="str">
        <f t="shared" si="105"/>
        <v>54,5454545454545</v>
      </c>
      <c r="Q123" s="4" t="str">
        <f t="shared" si="106"/>
        <v>1+1,43560579098708i</v>
      </c>
      <c r="R123" s="4">
        <f t="shared" si="118"/>
        <v>1.74956108413386</v>
      </c>
      <c r="S123" s="4">
        <f t="shared" si="119"/>
        <v>0.962376052428618</v>
      </c>
      <c r="T123" s="4" t="str">
        <f t="shared" si="107"/>
        <v>1+0,0110541645906006i</v>
      </c>
      <c r="U123" s="4">
        <f t="shared" si="120"/>
        <v>1.00006109541107</v>
      </c>
      <c r="V123" s="4">
        <f t="shared" si="121"/>
        <v>0.0110537143707019</v>
      </c>
      <c r="W123" t="str">
        <f t="shared" si="108"/>
        <v>1-0,031724324399045i</v>
      </c>
      <c r="X123" s="4">
        <f t="shared" si="122"/>
        <v>1.0005030898296</v>
      </c>
      <c r="Y123" s="4">
        <f t="shared" si="123"/>
        <v>-0.031713688021413</v>
      </c>
      <c r="Z123" t="str">
        <f t="shared" si="109"/>
        <v>0,999999897230579+0,00219048906564834i</v>
      </c>
      <c r="AA123" s="4">
        <f t="shared" si="124"/>
        <v>1.00000229634912</v>
      </c>
      <c r="AB123" s="4">
        <f t="shared" si="125"/>
        <v>0.00219048578727353</v>
      </c>
      <c r="AC123" s="67" t="str">
        <f t="shared" si="126"/>
        <v>17,2402173671281-25,9971364316661i</v>
      </c>
      <c r="AD123" s="68">
        <f t="shared" si="127"/>
        <v>29.8814684937783</v>
      </c>
      <c r="AE123" s="31">
        <f t="shared" si="128"/>
        <v>-56.4493209943521</v>
      </c>
      <c r="AF123" s="32" t="str">
        <f t="shared" si="129"/>
        <v>432,040091031901</v>
      </c>
      <c r="AG123" s="32" t="str">
        <f t="shared" si="110"/>
        <v>1+1,16975286673022i</v>
      </c>
      <c r="AH123" s="32">
        <f t="shared" si="130"/>
        <v>1.53893527129102</v>
      </c>
      <c r="AI123" s="32">
        <f t="shared" si="131"/>
        <v>0.863475160207245</v>
      </c>
      <c r="AJ123" s="32" t="str">
        <f t="shared" si="111"/>
        <v>1+0,0110541645906006i</v>
      </c>
      <c r="AK123" s="32">
        <f t="shared" si="132"/>
        <v>1.00006109541107</v>
      </c>
      <c r="AL123" s="32">
        <f t="shared" si="133"/>
        <v>0.0110537143707019</v>
      </c>
      <c r="AM123" s="32" t="str">
        <f t="shared" si="112"/>
        <v>1-0,00326344635337117i</v>
      </c>
      <c r="AN123" s="32">
        <f t="shared" si="134"/>
        <v>1.00000532502687</v>
      </c>
      <c r="AO123" s="32">
        <f t="shared" si="135"/>
        <v>-0.00326343476812133</v>
      </c>
      <c r="AP123" s="30" t="str">
        <f t="shared" si="136"/>
        <v>184,093629775056-211,978148559727i</v>
      </c>
      <c r="AQ123" s="32">
        <f t="shared" si="137"/>
        <v>48.9666508128723</v>
      </c>
      <c r="AR123" s="31">
        <f t="shared" si="138"/>
        <v>-49.027132251803</v>
      </c>
      <c r="AS123" t="str">
        <f t="shared" si="113"/>
        <v>-0,000201496259351621</v>
      </c>
      <c r="AT123" t="str">
        <f t="shared" si="114"/>
        <v>0,000158410126499231i</v>
      </c>
      <c r="AU123">
        <f t="shared" si="139"/>
        <v>0.000158410126499231</v>
      </c>
      <c r="AV123">
        <f t="shared" si="140"/>
        <v>1.5707963267949</v>
      </c>
      <c r="AW123" t="str">
        <f t="shared" si="115"/>
        <v>1+0,00811030792380272i</v>
      </c>
      <c r="AX123">
        <f t="shared" si="141"/>
        <v>1.0000328880065</v>
      </c>
      <c r="AY123">
        <f t="shared" si="142"/>
        <v>0.00811013010665655</v>
      </c>
      <c r="AZ123" t="str">
        <f t="shared" si="116"/>
        <v>1+0,387741742654993i</v>
      </c>
      <c r="BA123">
        <f t="shared" si="143"/>
        <v>1.07254074934108</v>
      </c>
      <c r="BB123">
        <f t="shared" si="144"/>
        <v>0.369894454122089</v>
      </c>
      <c r="BC123" s="30" t="str">
        <f t="shared" si="145"/>
        <v>-0,482856017340558+1,27590713709128i</v>
      </c>
      <c r="BD123" s="32">
        <f t="shared" si="146"/>
        <v>2.6976713194878</v>
      </c>
      <c r="BE123" s="31">
        <f t="shared" si="147"/>
        <v>110.728714860078</v>
      </c>
      <c r="BF123" s="30" t="str">
        <f t="shared" si="148"/>
        <v>24,8453892211215+34,5497901433772i</v>
      </c>
      <c r="BG123" s="68">
        <f t="shared" si="149"/>
        <v>32.5791398132661</v>
      </c>
      <c r="BH123" s="31">
        <f t="shared" si="150"/>
        <v>54.2793938657257</v>
      </c>
      <c r="BI123" s="30" t="str">
        <f t="shared" si="156"/>
        <v>181,573715763801+337,241300699809i</v>
      </c>
      <c r="BJ123" s="68">
        <f t="shared" si="151"/>
        <v>51.6643221323601</v>
      </c>
      <c r="BK123" s="31">
        <f t="shared" si="157"/>
        <v>61.7015826082747</v>
      </c>
      <c r="BL123" s="32">
        <f t="shared" si="152"/>
        <v>32.5791398132661</v>
      </c>
      <c r="BM123" s="31">
        <f t="shared" si="153"/>
        <v>54.2793938657257</v>
      </c>
      <c r="BO123">
        <f t="shared" si="154"/>
        <v>0</v>
      </c>
      <c r="BP123">
        <f t="shared" si="155"/>
        <v>0</v>
      </c>
    </row>
    <row r="124" spans="14:68">
      <c r="N124" s="7">
        <v>6</v>
      </c>
      <c r="O124" s="18">
        <f t="shared" si="158"/>
        <v>114.815362149688</v>
      </c>
      <c r="P124" s="86" t="str">
        <f t="shared" si="105"/>
        <v>54,5454545454545</v>
      </c>
      <c r="Q124" s="4" t="str">
        <f t="shared" si="106"/>
        <v>1+1,46904534559475i</v>
      </c>
      <c r="R124" s="4">
        <f t="shared" si="118"/>
        <v>1.77710276219852</v>
      </c>
      <c r="S124" s="4">
        <f t="shared" si="119"/>
        <v>0.973131468248763</v>
      </c>
      <c r="T124" s="4" t="str">
        <f t="shared" si="107"/>
        <v>1+0,0113116491610796i</v>
      </c>
      <c r="U124" s="4">
        <f t="shared" si="120"/>
        <v>1.00006397465699</v>
      </c>
      <c r="V124" s="4">
        <f t="shared" si="121"/>
        <v>0.0113111667434332</v>
      </c>
      <c r="W124" t="str">
        <f t="shared" si="108"/>
        <v>1-0,0324632788423841i</v>
      </c>
      <c r="X124" s="4">
        <f t="shared" si="122"/>
        <v>1.00052679348091</v>
      </c>
      <c r="Y124" s="4">
        <f t="shared" si="123"/>
        <v>-0.0324518820824823</v>
      </c>
      <c r="Z124" t="str">
        <f t="shared" si="109"/>
        <v>0,999999892387205+0,00224151211054557i</v>
      </c>
      <c r="AA124" s="4">
        <f t="shared" si="124"/>
        <v>1.00000240457259</v>
      </c>
      <c r="AB124" s="4">
        <f t="shared" si="125"/>
        <v>0.00224150859770413</v>
      </c>
      <c r="AC124" s="67" t="str">
        <f t="shared" si="126"/>
        <v>16,6835068655849-25,7848562976667i</v>
      </c>
      <c r="AD124" s="68">
        <f t="shared" si="127"/>
        <v>29.7460297047465</v>
      </c>
      <c r="AE124" s="31">
        <f t="shared" si="128"/>
        <v>-57.0960287892288</v>
      </c>
      <c r="AF124" s="32" t="str">
        <f t="shared" si="129"/>
        <v>432,040091031901</v>
      </c>
      <c r="AG124" s="32" t="str">
        <f t="shared" si="110"/>
        <v>1+1,19699991122535i</v>
      </c>
      <c r="AH124" s="32">
        <f t="shared" si="130"/>
        <v>1.55974638562604</v>
      </c>
      <c r="AI124" s="32">
        <f t="shared" si="131"/>
        <v>0.874826689824293</v>
      </c>
      <c r="AJ124" s="32" t="str">
        <f t="shared" si="111"/>
        <v>1+0,0113116491610796i</v>
      </c>
      <c r="AK124" s="32">
        <f t="shared" si="132"/>
        <v>1.00006397465699</v>
      </c>
      <c r="AL124" s="32">
        <f t="shared" si="133"/>
        <v>0.0113111667434332</v>
      </c>
      <c r="AM124" s="32" t="str">
        <f t="shared" si="112"/>
        <v>1-0,0033394617840889i</v>
      </c>
      <c r="AN124" s="32">
        <f t="shared" si="134"/>
        <v>1.00000557598696</v>
      </c>
      <c r="AO124" s="32">
        <f t="shared" si="135"/>
        <v>-0.00333944937027378</v>
      </c>
      <c r="AP124" s="30" t="str">
        <f t="shared" si="136"/>
        <v>179,290392967643-211,166279905748i</v>
      </c>
      <c r="AQ124" s="32">
        <f t="shared" si="137"/>
        <v>48.8500053111484</v>
      </c>
      <c r="AR124" s="31">
        <f t="shared" si="138"/>
        <v>-49.6671313713791</v>
      </c>
      <c r="AS124" t="str">
        <f t="shared" si="113"/>
        <v>-0,000201496259351621</v>
      </c>
      <c r="AT124" t="str">
        <f t="shared" si="114"/>
        <v>0,000162099972352971i</v>
      </c>
      <c r="AU124">
        <f t="shared" si="139"/>
        <v>0.000162099972352971</v>
      </c>
      <c r="AV124">
        <f t="shared" si="140"/>
        <v>1.5707963267949</v>
      </c>
      <c r="AW124" t="str">
        <f t="shared" si="115"/>
        <v>1+0,00829922126366639i</v>
      </c>
      <c r="AX124">
        <f t="shared" si="141"/>
        <v>1.00003443794381</v>
      </c>
      <c r="AY124">
        <f t="shared" si="142"/>
        <v>0.00829903072951584</v>
      </c>
      <c r="AZ124" t="str">
        <f t="shared" si="116"/>
        <v>1+0,396773408073582i</v>
      </c>
      <c r="BA124">
        <f t="shared" si="143"/>
        <v>1.07583880639914</v>
      </c>
      <c r="BB124">
        <f t="shared" si="144"/>
        <v>0.3777217413021</v>
      </c>
      <c r="BC124" s="30" t="str">
        <f t="shared" si="145"/>
        <v>-0,482854520600151+1,24704429193892i</v>
      </c>
      <c r="BD124" s="32">
        <f t="shared" si="146"/>
        <v>2.52432594033386</v>
      </c>
      <c r="BE124" s="31">
        <f t="shared" si="147"/>
        <v>111.166362172092</v>
      </c>
      <c r="BF124" s="30" t="str">
        <f t="shared" si="148"/>
        <v>24,0991511549592+33,2554064326051i</v>
      </c>
      <c r="BG124" s="68">
        <f t="shared" si="149"/>
        <v>32.2703556450803</v>
      </c>
      <c r="BH124" s="31">
        <f t="shared" si="150"/>
        <v>54.0703333828633</v>
      </c>
      <c r="BI124" s="30" t="str">
        <f t="shared" si="156"/>
        <v>176,762527261835+325,545654000592i</v>
      </c>
      <c r="BJ124" s="68">
        <f t="shared" si="151"/>
        <v>51.3743312514823</v>
      </c>
      <c r="BK124" s="31">
        <f t="shared" si="157"/>
        <v>61.4992308007129</v>
      </c>
      <c r="BL124" s="32">
        <f t="shared" si="152"/>
        <v>32.2703556450803</v>
      </c>
      <c r="BM124" s="31">
        <f t="shared" si="153"/>
        <v>54.0703333828633</v>
      </c>
      <c r="BO124">
        <f t="shared" si="154"/>
        <v>0</v>
      </c>
      <c r="BP124">
        <f t="shared" si="155"/>
        <v>0</v>
      </c>
    </row>
    <row r="125" spans="14:68">
      <c r="N125" s="7">
        <v>7</v>
      </c>
      <c r="O125" s="18">
        <f t="shared" si="158"/>
        <v>117.489755493953</v>
      </c>
      <c r="P125" s="86" t="str">
        <f t="shared" si="105"/>
        <v>54,5454545454545</v>
      </c>
      <c r="Q125" s="4" t="str">
        <f t="shared" si="106"/>
        <v>1+1,50326380748977i</v>
      </c>
      <c r="R125" s="4">
        <f t="shared" si="118"/>
        <v>1.80549219741007</v>
      </c>
      <c r="S125" s="4">
        <f t="shared" si="119"/>
        <v>0.983796460872563</v>
      </c>
      <c r="T125" s="4" t="str">
        <f t="shared" si="107"/>
        <v>1+0,0115751313176713i</v>
      </c>
      <c r="U125" s="4">
        <f t="shared" si="120"/>
        <v>1.00006698958871</v>
      </c>
      <c r="V125" s="4">
        <f t="shared" si="121"/>
        <v>0.0115746143997201</v>
      </c>
      <c r="W125" t="str">
        <f t="shared" si="108"/>
        <v>1-0,0332194457458678i</v>
      </c>
      <c r="X125" s="4">
        <f t="shared" si="122"/>
        <v>1.00055161364902</v>
      </c>
      <c r="Y125" s="4">
        <f t="shared" si="123"/>
        <v>-0.0332072342612018</v>
      </c>
      <c r="Z125" t="str">
        <f t="shared" si="109"/>
        <v>0,99999988731557+0,00229372363483373i</v>
      </c>
      <c r="AA125" s="4">
        <f t="shared" si="124"/>
        <v>1.00000251789646</v>
      </c>
      <c r="AB125" s="4">
        <f t="shared" si="125"/>
        <v>0.00229371987075682</v>
      </c>
      <c r="AC125" s="67" t="str">
        <f t="shared" si="126"/>
        <v>16,1361173662513-25,5625937966974i</v>
      </c>
      <c r="AD125" s="68">
        <f t="shared" si="127"/>
        <v>29.6086088948357</v>
      </c>
      <c r="AE125" s="31">
        <f t="shared" si="128"/>
        <v>-57.7382633937585</v>
      </c>
      <c r="AF125" s="32" t="str">
        <f t="shared" si="129"/>
        <v>432,040091031901</v>
      </c>
      <c r="AG125" s="32" t="str">
        <f t="shared" si="110"/>
        <v>1+1,22488162091759i</v>
      </c>
      <c r="AH125" s="32">
        <f t="shared" si="130"/>
        <v>1.58124475817683</v>
      </c>
      <c r="AI125" s="32">
        <f t="shared" si="131"/>
        <v>0.886131819938684</v>
      </c>
      <c r="AJ125" s="32" t="str">
        <f t="shared" si="111"/>
        <v>1+0,0115751313176713i</v>
      </c>
      <c r="AK125" s="32">
        <f t="shared" si="132"/>
        <v>1.00006698958871</v>
      </c>
      <c r="AL125" s="32">
        <f t="shared" si="133"/>
        <v>0.0115746143997201</v>
      </c>
      <c r="AM125" s="32" t="str">
        <f t="shared" si="112"/>
        <v>1-0,00341724784164757i</v>
      </c>
      <c r="AN125" s="32">
        <f t="shared" si="134"/>
        <v>1.00000583877436</v>
      </c>
      <c r="AO125" s="32">
        <f t="shared" si="135"/>
        <v>-0.00341723454000922</v>
      </c>
      <c r="AP125" s="30" t="str">
        <f t="shared" si="136"/>
        <v>174,526340806517-210,249574500294i</v>
      </c>
      <c r="AQ125" s="32">
        <f t="shared" si="137"/>
        <v>48.7311315609942</v>
      </c>
      <c r="AR125" s="31">
        <f t="shared" si="138"/>
        <v>-50.3042299368868</v>
      </c>
      <c r="AS125" t="str">
        <f t="shared" si="113"/>
        <v>-0,000201496259351621</v>
      </c>
      <c r="AT125" t="str">
        <f t="shared" si="114"/>
        <v>0,0001658757657577i</v>
      </c>
      <c r="AU125">
        <f t="shared" si="139"/>
        <v>0.0001658757657577</v>
      </c>
      <c r="AV125">
        <f t="shared" si="140"/>
        <v>1.5707963267949</v>
      </c>
      <c r="AW125" t="str">
        <f t="shared" si="115"/>
        <v>1+0,00849253496049727i</v>
      </c>
      <c r="AX125">
        <f t="shared" si="141"/>
        <v>1.00003606092483</v>
      </c>
      <c r="AY125">
        <f t="shared" si="142"/>
        <v>0.00849233079987425</v>
      </c>
      <c r="AZ125" t="str">
        <f t="shared" si="116"/>
        <v>1+0,40601544800505i</v>
      </c>
      <c r="BA125">
        <f t="shared" si="143"/>
        <v>1.0792814943372</v>
      </c>
      <c r="BB125">
        <f t="shared" si="144"/>
        <v>0.385681327499295</v>
      </c>
      <c r="BC125" s="30" t="str">
        <f t="shared" si="145"/>
        <v>-0,48285295333049+1,21884264500567i</v>
      </c>
      <c r="BD125" s="32">
        <f t="shared" si="146"/>
        <v>2.35206234376995</v>
      </c>
      <c r="BE125" s="31">
        <f t="shared" si="147"/>
        <v>111.611337589651</v>
      </c>
      <c r="BF125" s="30" t="str">
        <f t="shared" si="148"/>
        <v>23,3654075107903+32,0103618803267i</v>
      </c>
      <c r="BG125" s="68">
        <f t="shared" si="149"/>
        <v>31.9606712386057</v>
      </c>
      <c r="BH125" s="31">
        <f t="shared" si="150"/>
        <v>53.8730741958923</v>
      </c>
      <c r="BI125" s="30" t="str">
        <f t="shared" si="156"/>
        <v>171,990588402865+314,239774835722i</v>
      </c>
      <c r="BJ125" s="68">
        <f t="shared" si="151"/>
        <v>51.0831939047641</v>
      </c>
      <c r="BK125" s="31">
        <f t="shared" si="157"/>
        <v>61.3071076527639</v>
      </c>
      <c r="BL125" s="32">
        <f t="shared" si="152"/>
        <v>31.9606712386057</v>
      </c>
      <c r="BM125" s="31">
        <f t="shared" si="153"/>
        <v>53.8730741958923</v>
      </c>
      <c r="BO125">
        <f t="shared" si="154"/>
        <v>0</v>
      </c>
      <c r="BP125">
        <f t="shared" si="155"/>
        <v>0</v>
      </c>
    </row>
    <row r="126" spans="14:68">
      <c r="N126" s="7">
        <v>8</v>
      </c>
      <c r="O126" s="18">
        <f t="shared" si="158"/>
        <v>120.226443461741</v>
      </c>
      <c r="P126" s="86" t="str">
        <f t="shared" si="105"/>
        <v>54,5454545454545</v>
      </c>
      <c r="Q126" s="4" t="str">
        <f t="shared" si="106"/>
        <v>1+1,53827931975356i</v>
      </c>
      <c r="R126" s="4">
        <f t="shared" si="118"/>
        <v>1.83474882901761</v>
      </c>
      <c r="S126" s="4">
        <f t="shared" si="119"/>
        <v>0.994366980499101</v>
      </c>
      <c r="T126" s="4" t="str">
        <f t="shared" si="107"/>
        <v>1+0,0118447507621024i</v>
      </c>
      <c r="U126" s="4">
        <f t="shared" si="120"/>
        <v>1.00007014660004</v>
      </c>
      <c r="V126" s="4">
        <f t="shared" si="121"/>
        <v>0.0118441968766367</v>
      </c>
      <c r="W126" t="str">
        <f t="shared" si="108"/>
        <v>1-0,0339932260391971i</v>
      </c>
      <c r="X126" s="4">
        <f t="shared" si="122"/>
        <v>1.00057760289572</v>
      </c>
      <c r="Y126" s="4">
        <f t="shared" si="123"/>
        <v>-0.0339801416055524</v>
      </c>
      <c r="Z126" t="str">
        <f t="shared" si="109"/>
        <v>0,999999882004917+0,00234715132175408i</v>
      </c>
      <c r="AA126" s="4">
        <f t="shared" si="124"/>
        <v>1.00000263656111</v>
      </c>
      <c r="AB126" s="4">
        <f t="shared" si="125"/>
        <v>0.00234714728847358</v>
      </c>
      <c r="AC126" s="67" t="str">
        <f t="shared" si="126"/>
        <v>15,5983822824347-25,3308383342751i</v>
      </c>
      <c r="AD126" s="68">
        <f t="shared" si="127"/>
        <v>29.4692408306826</v>
      </c>
      <c r="AE126" s="31">
        <f t="shared" si="128"/>
        <v>-58.3758091117928</v>
      </c>
      <c r="AF126" s="32" t="str">
        <f t="shared" si="129"/>
        <v>432,040091031901</v>
      </c>
      <c r="AG126" s="32" t="str">
        <f t="shared" si="110"/>
        <v>1+1,25341277905846i</v>
      </c>
      <c r="AH126" s="32">
        <f t="shared" si="130"/>
        <v>1.60344740939859</v>
      </c>
      <c r="AI126" s="32">
        <f t="shared" si="131"/>
        <v>0.897384986522664</v>
      </c>
      <c r="AJ126" s="32" t="str">
        <f t="shared" si="111"/>
        <v>1+0,0118447507621024i</v>
      </c>
      <c r="AK126" s="32">
        <f t="shared" si="132"/>
        <v>1.00007014660004</v>
      </c>
      <c r="AL126" s="32">
        <f t="shared" si="133"/>
        <v>0.0118441968766367</v>
      </c>
      <c r="AM126" s="32" t="str">
        <f t="shared" si="112"/>
        <v>1-0,00349684576924448i</v>
      </c>
      <c r="AN126" s="32">
        <f t="shared" si="134"/>
        <v>1.00000611394648</v>
      </c>
      <c r="AO126" s="32">
        <f t="shared" si="135"/>
        <v>-0.0034968315162869</v>
      </c>
      <c r="AP126" s="30" t="str">
        <f t="shared" si="136"/>
        <v>169,805981658874-209,23035773876i</v>
      </c>
      <c r="AQ126" s="32">
        <f t="shared" si="137"/>
        <v>48.610048941225</v>
      </c>
      <c r="AR126" s="31">
        <f t="shared" si="138"/>
        <v>-50.9381035209513</v>
      </c>
      <c r="AS126" t="str">
        <f t="shared" si="113"/>
        <v>-0,000201496259351621</v>
      </c>
      <c r="AT126" t="str">
        <f t="shared" si="114"/>
        <v>0,000169739508689057i</v>
      </c>
      <c r="AU126">
        <f t="shared" si="139"/>
        <v>0.000169739508689057</v>
      </c>
      <c r="AV126">
        <f t="shared" si="140"/>
        <v>1.5707963267949</v>
      </c>
      <c r="AW126" t="str">
        <f t="shared" si="115"/>
        <v>1+0,00869035151177614i</v>
      </c>
      <c r="AX126">
        <f t="shared" si="141"/>
        <v>1.00003776039178</v>
      </c>
      <c r="AY126">
        <f t="shared" si="142"/>
        <v>0.00869013275017333</v>
      </c>
      <c r="AZ126" t="str">
        <f t="shared" si="116"/>
        <v>1+0,415472762701297i</v>
      </c>
      <c r="BA126">
        <f t="shared" si="143"/>
        <v>1.08287470029854</v>
      </c>
      <c r="BB126">
        <f t="shared" si="144"/>
        <v>0.393773397715173</v>
      </c>
      <c r="BC126" s="30" t="str">
        <f t="shared" si="145"/>
        <v>-0,48285131220859+1,19128724332129i</v>
      </c>
      <c r="BD126" s="32">
        <f t="shared" si="146"/>
        <v>2.18091711533399</v>
      </c>
      <c r="BE126" s="31">
        <f t="shared" si="147"/>
        <v>112.063645843612</v>
      </c>
      <c r="BF126" s="30" t="str">
        <f t="shared" si="148"/>
        <v>22,644605216851+30,8131823585617i</v>
      </c>
      <c r="BG126" s="68">
        <f t="shared" si="149"/>
        <v>31.6501579460166</v>
      </c>
      <c r="BH126" s="31">
        <f t="shared" si="150"/>
        <v>53.6878367318197</v>
      </c>
      <c r="BI126" s="30" t="str">
        <f t="shared" si="156"/>
        <v>167,26241502488+303,314852577899i</v>
      </c>
      <c r="BJ126" s="68">
        <f t="shared" si="151"/>
        <v>50.790966056559</v>
      </c>
      <c r="BK126" s="31">
        <f t="shared" si="157"/>
        <v>61.1255423226612</v>
      </c>
      <c r="BL126" s="32">
        <f t="shared" si="152"/>
        <v>31.6501579460166</v>
      </c>
      <c r="BM126" s="31">
        <f t="shared" si="153"/>
        <v>53.6878367318197</v>
      </c>
      <c r="BO126">
        <f t="shared" si="154"/>
        <v>0</v>
      </c>
      <c r="BP126">
        <f t="shared" si="155"/>
        <v>0</v>
      </c>
    </row>
    <row r="127" spans="14:68">
      <c r="N127" s="7">
        <v>9</v>
      </c>
      <c r="O127" s="18">
        <f t="shared" si="158"/>
        <v>123.026877081238</v>
      </c>
      <c r="P127" s="86" t="str">
        <f t="shared" si="105"/>
        <v>54,5454545454545</v>
      </c>
      <c r="Q127" s="4" t="str">
        <f t="shared" si="106"/>
        <v>1+1,57411044807423i</v>
      </c>
      <c r="R127" s="4">
        <f t="shared" si="118"/>
        <v>1.86489241049891</v>
      </c>
      <c r="S127" s="4">
        <f t="shared" si="119"/>
        <v>1.00483918275889</v>
      </c>
      <c r="T127" s="4" t="str">
        <f t="shared" si="107"/>
        <v>1+0,0121206504501716i</v>
      </c>
      <c r="U127" s="4">
        <f t="shared" si="120"/>
        <v>1.00007345238604</v>
      </c>
      <c r="V127" s="4">
        <f t="shared" si="121"/>
        <v>0.0121200569535565</v>
      </c>
      <c r="W127" t="str">
        <f t="shared" si="108"/>
        <v>1-0,0347850299909261i</v>
      </c>
      <c r="X127" s="4">
        <f t="shared" si="122"/>
        <v>1.00060481625438</v>
      </c>
      <c r="Y127" s="4">
        <f t="shared" si="123"/>
        <v>-0.0347710102253373</v>
      </c>
      <c r="Z127" t="str">
        <f t="shared" si="109"/>
        <v>0,99999987644398+0,00240182349937347i</v>
      </c>
      <c r="AA127" s="4">
        <f t="shared" si="124"/>
        <v>1.00000276081824</v>
      </c>
      <c r="AB127" s="4">
        <f t="shared" si="125"/>
        <v>0.00240181917763619</v>
      </c>
      <c r="AC127" s="67" t="str">
        <f t="shared" si="126"/>
        <v>15,070603275779-25,0900890467355i</v>
      </c>
      <c r="AD127" s="68">
        <f t="shared" si="127"/>
        <v>29.3279614490771</v>
      </c>
      <c r="AE127" s="31">
        <f t="shared" si="128"/>
        <v>-59.0084623879125</v>
      </c>
      <c r="AF127" s="32" t="str">
        <f t="shared" si="129"/>
        <v>432,040091031901</v>
      </c>
      <c r="AG127" s="32" t="str">
        <f t="shared" si="110"/>
        <v>1+1,28260851324567i</v>
      </c>
      <c r="AH127" s="32">
        <f t="shared" si="130"/>
        <v>1.6263716052152</v>
      </c>
      <c r="AI127" s="32">
        <f t="shared" si="131"/>
        <v>0.908580756578175</v>
      </c>
      <c r="AJ127" s="32" t="str">
        <f t="shared" si="111"/>
        <v>1+0,0121206504501716i</v>
      </c>
      <c r="AK127" s="32">
        <f t="shared" si="132"/>
        <v>1.00007345238604</v>
      </c>
      <c r="AL127" s="32">
        <f t="shared" si="133"/>
        <v>0.0121200569535565</v>
      </c>
      <c r="AM127" s="32" t="str">
        <f t="shared" si="112"/>
        <v>1-0,00357829777075448i</v>
      </c>
      <c r="AN127" s="32">
        <f t="shared" si="134"/>
        <v>1.00000640208697</v>
      </c>
      <c r="AO127" s="32">
        <f t="shared" si="135"/>
        <v>-0.00357828249844056</v>
      </c>
      <c r="AP127" s="30" t="str">
        <f t="shared" si="136"/>
        <v>165,133649880773-208,111186331167i</v>
      </c>
      <c r="AQ127" s="32">
        <f t="shared" si="137"/>
        <v>48.4867788946031</v>
      </c>
      <c r="AR127" s="31">
        <f t="shared" si="138"/>
        <v>-51.5684350729018</v>
      </c>
      <c r="AS127" t="str">
        <f t="shared" si="113"/>
        <v>-0,000201496259351621</v>
      </c>
      <c r="AT127" t="str">
        <f t="shared" si="114"/>
        <v>0,000173693249754691i</v>
      </c>
      <c r="AU127">
        <f t="shared" si="139"/>
        <v>0.000173693249754691</v>
      </c>
      <c r="AV127">
        <f t="shared" si="140"/>
        <v>1.5707963267949</v>
      </c>
      <c r="AW127" t="str">
        <f t="shared" si="115"/>
        <v>1+0,008892775802457i</v>
      </c>
      <c r="AX127">
        <f t="shared" si="141"/>
        <v>1.00003953994903</v>
      </c>
      <c r="AY127">
        <f t="shared" si="142"/>
        <v>0.0088925413956769</v>
      </c>
      <c r="AZ127" t="str">
        <f t="shared" si="116"/>
        <v>1+0,425150366555763i</v>
      </c>
      <c r="BA127">
        <f t="shared" si="143"/>
        <v>1.08662451388808</v>
      </c>
      <c r="BB127">
        <f t="shared" si="144"/>
        <v>0.401998002372152</v>
      </c>
      <c r="BC127" s="30" t="str">
        <f t="shared" si="145"/>
        <v>-0,482849593754951+1,16436347655731i</v>
      </c>
      <c r="BD127" s="32">
        <f t="shared" si="146"/>
        <v>2.01092748164851</v>
      </c>
      <c r="BE127" s="31">
        <f t="shared" si="147"/>
        <v>112.523283817497</v>
      </c>
      <c r="BF127" s="30" t="str">
        <f t="shared" si="148"/>
        <v>21,9371486402375+29,6623993274938i</v>
      </c>
      <c r="BG127" s="68">
        <f t="shared" si="149"/>
        <v>31.3388889307256</v>
      </c>
      <c r="BH127" s="31">
        <f t="shared" si="150"/>
        <v>53.5148214295843</v>
      </c>
      <c r="BI127" s="30" t="str">
        <f t="shared" si="156"/>
        <v>162,58234866682+292,761992447639i</v>
      </c>
      <c r="BJ127" s="68">
        <f t="shared" si="151"/>
        <v>50.4977063762516</v>
      </c>
      <c r="BK127" s="31">
        <f t="shared" si="157"/>
        <v>60.9548487445949</v>
      </c>
      <c r="BL127" s="32">
        <f t="shared" si="152"/>
        <v>31.3388889307256</v>
      </c>
      <c r="BM127" s="31">
        <f t="shared" si="153"/>
        <v>53.5148214295843</v>
      </c>
      <c r="BO127">
        <f t="shared" si="154"/>
        <v>0</v>
      </c>
      <c r="BP127">
        <f t="shared" si="155"/>
        <v>0</v>
      </c>
    </row>
    <row r="128" spans="14:68">
      <c r="N128" s="7">
        <v>10</v>
      </c>
      <c r="O128" s="18">
        <f t="shared" si="158"/>
        <v>125.892541179417</v>
      </c>
      <c r="P128" s="86" t="str">
        <f t="shared" si="105"/>
        <v>54,5454545454545</v>
      </c>
      <c r="Q128" s="4" t="str">
        <f t="shared" si="106"/>
        <v>1+1,61077619059028i</v>
      </c>
      <c r="R128" s="4">
        <f t="shared" si="118"/>
        <v>1.89594302028635</v>
      </c>
      <c r="S128" s="4">
        <f t="shared" si="119"/>
        <v>1.01520943227156</v>
      </c>
      <c r="T128" s="4" t="str">
        <f t="shared" si="107"/>
        <v>1+0,0124029766675452i</v>
      </c>
      <c r="U128" s="4">
        <f t="shared" si="120"/>
        <v>1.00007691395723</v>
      </c>
      <c r="V128" s="4">
        <f t="shared" si="121"/>
        <v>0.012402340727106</v>
      </c>
      <c r="W128" t="str">
        <f t="shared" si="108"/>
        <v>1-0,0355952774259907i</v>
      </c>
      <c r="X128" s="4">
        <f t="shared" si="122"/>
        <v>1.00063331134589</v>
      </c>
      <c r="Y128" s="4">
        <f t="shared" si="123"/>
        <v>-0.035580255489969</v>
      </c>
      <c r="Z128" t="str">
        <f t="shared" si="109"/>
        <v>0,999999870620964+0,00245776915560412i</v>
      </c>
      <c r="AA128" s="4">
        <f t="shared" si="124"/>
        <v>1.0000028909314</v>
      </c>
      <c r="AB128" s="4">
        <f t="shared" si="125"/>
        <v>0.00245776452477992</v>
      </c>
      <c r="AC128" s="67" t="str">
        <f t="shared" si="126"/>
        <v>14,5530502362641-24,8408524761343i</v>
      </c>
      <c r="AD128" s="68">
        <f t="shared" si="127"/>
        <v>29.1848077433721</v>
      </c>
      <c r="AE128" s="31">
        <f t="shared" si="128"/>
        <v>-59.6360320191656</v>
      </c>
      <c r="AF128" s="32" t="str">
        <f t="shared" si="129"/>
        <v>432,040091031901</v>
      </c>
      <c r="AG128" s="32" t="str">
        <f t="shared" si="110"/>
        <v>1+1,31248430344393i</v>
      </c>
      <c r="AH128" s="32">
        <f t="shared" si="130"/>
        <v>1.65003486229434</v>
      </c>
      <c r="AI128" s="32">
        <f t="shared" si="131"/>
        <v>0.919713840144162</v>
      </c>
      <c r="AJ128" s="32" t="str">
        <f t="shared" si="111"/>
        <v>1+0,0124029766675452i</v>
      </c>
      <c r="AK128" s="32">
        <f t="shared" si="132"/>
        <v>1.00007691395723</v>
      </c>
      <c r="AL128" s="32">
        <f t="shared" si="133"/>
        <v>0.012402340727106</v>
      </c>
      <c r="AM128" s="32" t="str">
        <f t="shared" si="112"/>
        <v>1-0,00366164703310692i</v>
      </c>
      <c r="AN128" s="32">
        <f t="shared" si="134"/>
        <v>1.00000670380703</v>
      </c>
      <c r="AO128" s="32">
        <f t="shared" si="135"/>
        <v>-0.00366163066853364</v>
      </c>
      <c r="AP128" s="30" t="str">
        <f t="shared" si="136"/>
        <v>160,513491385825-206,894833083875i</v>
      </c>
      <c r="AQ128" s="32">
        <f t="shared" si="137"/>
        <v>48.3613448434557</v>
      </c>
      <c r="AR128" s="31">
        <f t="shared" si="138"/>
        <v>-52.1949156037264</v>
      </c>
      <c r="AS128" t="str">
        <f t="shared" si="113"/>
        <v>-0,000201496259351621</v>
      </c>
      <c r="AT128" t="str">
        <f t="shared" si="114"/>
        <v>0,000177739085280447i</v>
      </c>
      <c r="AU128">
        <f t="shared" si="139"/>
        <v>0.000177739085280447</v>
      </c>
      <c r="AV128">
        <f t="shared" si="140"/>
        <v>1.5707963267949</v>
      </c>
      <c r="AW128" t="str">
        <f t="shared" si="115"/>
        <v>1+0,00909991516057814i</v>
      </c>
      <c r="AX128">
        <f t="shared" si="141"/>
        <v>1.00004140337085</v>
      </c>
      <c r="AY128">
        <f t="shared" si="142"/>
        <v>0.00909966398974962</v>
      </c>
      <c r="AZ128" t="str">
        <f t="shared" si="116"/>
        <v>1+0,435053390762107i</v>
      </c>
      <c r="BA128">
        <f t="shared" si="143"/>
        <v>1.09053723128264</v>
      </c>
      <c r="BB128">
        <f t="shared" si="144"/>
        <v>0.410355050444407</v>
      </c>
      <c r="BC128" s="30" t="str">
        <f t="shared" si="145"/>
        <v>-0,482847794326199+1,1380570692801i</v>
      </c>
      <c r="BD128" s="32">
        <f t="shared" si="146"/>
        <v>1.84213127222717</v>
      </c>
      <c r="BE128" s="31">
        <f t="shared" si="147"/>
        <v>112.990240150743</v>
      </c>
      <c r="BF128" s="30" t="str">
        <f t="shared" si="148"/>
        <v>21,2433995601102+28,5565525282527i</v>
      </c>
      <c r="BG128" s="68">
        <f t="shared" si="149"/>
        <v>31.0269390155992</v>
      </c>
      <c r="BH128" s="31">
        <f t="shared" si="150"/>
        <v>53.3542081315771</v>
      </c>
      <c r="BI128" s="30" t="str">
        <f t="shared" si="156"/>
        <v>157,954542113387+282,572227398505i</v>
      </c>
      <c r="BJ128" s="68">
        <f t="shared" si="151"/>
        <v>50.2034761156829</v>
      </c>
      <c r="BK128" s="31">
        <f t="shared" si="157"/>
        <v>60.7953245470165</v>
      </c>
      <c r="BL128" s="32">
        <f t="shared" si="152"/>
        <v>31.0269390155992</v>
      </c>
      <c r="BM128" s="31">
        <f t="shared" si="153"/>
        <v>53.3542081315771</v>
      </c>
      <c r="BO128">
        <f t="shared" si="154"/>
        <v>0</v>
      </c>
      <c r="BP128">
        <f t="shared" si="155"/>
        <v>0</v>
      </c>
    </row>
    <row r="129" spans="14:68">
      <c r="N129" s="7">
        <v>11</v>
      </c>
      <c r="O129" s="18">
        <f t="shared" si="158"/>
        <v>128.824955169313</v>
      </c>
      <c r="P129" s="86" t="str">
        <f t="shared" si="105"/>
        <v>54,5454545454545</v>
      </c>
      <c r="Q129" s="4" t="str">
        <f t="shared" si="106"/>
        <v>1+1,64829598796371i</v>
      </c>
      <c r="R129" s="4">
        <f t="shared" si="118"/>
        <v>1.927921073057</v>
      </c>
      <c r="S129" s="4">
        <f t="shared" si="119"/>
        <v>1.02547430524872</v>
      </c>
      <c r="T129" s="4" t="str">
        <f t="shared" si="107"/>
        <v>1+0,0126918791073206i</v>
      </c>
      <c r="U129" s="4">
        <f t="shared" si="120"/>
        <v>1.0000805386544</v>
      </c>
      <c r="V129" s="4">
        <f t="shared" si="121"/>
        <v>0.0126911976878268</v>
      </c>
      <c r="W129" t="str">
        <f t="shared" si="108"/>
        <v>1-0,0364243979483054i</v>
      </c>
      <c r="X129" s="4">
        <f t="shared" si="122"/>
        <v>1.00066314849998</v>
      </c>
      <c r="Y129" s="4">
        <f t="shared" si="123"/>
        <v>-0.0364083022299215</v>
      </c>
      <c r="Z129" t="str">
        <f t="shared" si="109"/>
        <v>0,999999864523518+0,00251501795357346i</v>
      </c>
      <c r="AA129" s="4">
        <f t="shared" si="124"/>
        <v>1.0000030271766</v>
      </c>
      <c r="AB129" s="4">
        <f t="shared" si="125"/>
        <v>0.00251501299155674</v>
      </c>
      <c r="AC129" s="67" t="str">
        <f t="shared" si="126"/>
        <v>14,0459614485499-24,5836403030496i</v>
      </c>
      <c r="AD129" s="68">
        <f t="shared" si="127"/>
        <v>29.0398176502102</v>
      </c>
      <c r="AE129" s="31">
        <f t="shared" si="128"/>
        <v>-60.258339312231</v>
      </c>
      <c r="AF129" s="32" t="str">
        <f t="shared" si="129"/>
        <v>432,040091031901</v>
      </c>
      <c r="AG129" s="32" t="str">
        <f t="shared" si="110"/>
        <v>1+1,34305599019266i</v>
      </c>
      <c r="AH129" s="32">
        <f t="shared" si="130"/>
        <v>1.67445495394543</v>
      </c>
      <c r="AI129" s="32">
        <f t="shared" si="131"/>
        <v>0.930779101460339</v>
      </c>
      <c r="AJ129" s="32" t="str">
        <f t="shared" si="111"/>
        <v>1+0,0126918791073206i</v>
      </c>
      <c r="AK129" s="32">
        <f t="shared" si="132"/>
        <v>1.0000805386544</v>
      </c>
      <c r="AL129" s="32">
        <f t="shared" si="133"/>
        <v>0.0126911976878268</v>
      </c>
      <c r="AM129" s="32" t="str">
        <f t="shared" si="112"/>
        <v>1-0,0037469377491839i</v>
      </c>
      <c r="AN129" s="32">
        <f t="shared" si="134"/>
        <v>1.00000701974661</v>
      </c>
      <c r="AO129" s="32">
        <f t="shared" si="135"/>
        <v>-0.00374692021423436</v>
      </c>
      <c r="AP129" s="30" t="str">
        <f t="shared" si="136"/>
        <v>155,949450737477-205,584270701579i</v>
      </c>
      <c r="AQ129" s="32">
        <f t="shared" si="137"/>
        <v>48.2337720989254</v>
      </c>
      <c r="AR129" s="31">
        <f t="shared" si="138"/>
        <v>-52.8172448226256</v>
      </c>
      <c r="AS129" t="str">
        <f t="shared" si="113"/>
        <v>-0,000201496259351621</v>
      </c>
      <c r="AT129" t="str">
        <f t="shared" si="114"/>
        <v>0,000181879160421871i</v>
      </c>
      <c r="AU129">
        <f t="shared" si="139"/>
        <v>0.000181879160421871</v>
      </c>
      <c r="AV129">
        <f t="shared" si="140"/>
        <v>1.5707963267949</v>
      </c>
      <c r="AW129" t="str">
        <f t="shared" si="115"/>
        <v>1+0,00931187941416894i</v>
      </c>
      <c r="AX129">
        <f t="shared" si="141"/>
        <v>1.0000433546093</v>
      </c>
      <c r="AY129">
        <f t="shared" si="142"/>
        <v>0.00931161028040742</v>
      </c>
      <c r="AZ129" t="str">
        <f t="shared" si="116"/>
        <v>1+0,445187086034842i</v>
      </c>
      <c r="BA129">
        <f t="shared" si="143"/>
        <v>1.0946193592168</v>
      </c>
      <c r="BB129">
        <f t="shared" si="144"/>
        <v>0.418844302631552</v>
      </c>
      <c r="BC129" s="30" t="str">
        <f t="shared" si="145"/>
        <v>-0,48284591010736+1,1123540733813i</v>
      </c>
      <c r="BD129" s="32">
        <f t="shared" si="146"/>
        <v>1.67456687673154</v>
      </c>
      <c r="BE129" s="31">
        <f t="shared" si="147"/>
        <v>113.46449484435</v>
      </c>
      <c r="BF129" s="30" t="str">
        <f t="shared" si="148"/>
        <v>20,5636773906799+27,4941926077291i</v>
      </c>
      <c r="BG129" s="68">
        <f t="shared" si="149"/>
        <v>30.7143845269417</v>
      </c>
      <c r="BH129" s="31">
        <f t="shared" si="150"/>
        <v>53.2061555321192</v>
      </c>
      <c r="BI129" s="30" t="str">
        <f t="shared" si="156"/>
        <v>153,382946465945+272,736531060071i</v>
      </c>
      <c r="BJ129" s="68">
        <f t="shared" si="151"/>
        <v>49.9083389756569</v>
      </c>
      <c r="BK129" s="31">
        <f t="shared" si="157"/>
        <v>60.6472500217247</v>
      </c>
      <c r="BL129" s="32">
        <f t="shared" si="152"/>
        <v>30.7143845269417</v>
      </c>
      <c r="BM129" s="31">
        <f t="shared" si="153"/>
        <v>53.2061555321192</v>
      </c>
      <c r="BO129">
        <f t="shared" si="154"/>
        <v>0</v>
      </c>
      <c r="BP129">
        <f t="shared" si="155"/>
        <v>0</v>
      </c>
    </row>
    <row r="130" spans="14:68">
      <c r="N130" s="7">
        <v>12</v>
      </c>
      <c r="O130" s="18">
        <f t="shared" si="158"/>
        <v>131.825673855641</v>
      </c>
      <c r="P130" s="86" t="str">
        <f t="shared" si="105"/>
        <v>54,5454545454545</v>
      </c>
      <c r="Q130" s="4" t="str">
        <f t="shared" si="106"/>
        <v>1+1,68668973368776i</v>
      </c>
      <c r="R130" s="4">
        <f t="shared" si="118"/>
        <v>1.96084733157064</v>
      </c>
      <c r="S130" s="4">
        <f t="shared" si="119"/>
        <v>1.03563059116932</v>
      </c>
      <c r="T130" s="4" t="str">
        <f t="shared" si="107"/>
        <v>1+0,0129875109493958i</v>
      </c>
      <c r="U130" s="4">
        <f t="shared" si="120"/>
        <v>1.0000843341642</v>
      </c>
      <c r="V130" s="4">
        <f t="shared" si="121"/>
        <v>0.0129867807985787</v>
      </c>
      <c r="W130" t="str">
        <f t="shared" si="108"/>
        <v>1-0,0372728311685466i</v>
      </c>
      <c r="X130" s="4">
        <f t="shared" si="122"/>
        <v>1.00069439088231</v>
      </c>
      <c r="Y130" s="4">
        <f t="shared" si="123"/>
        <v>-0.0372555849418663</v>
      </c>
      <c r="Z130" t="str">
        <f t="shared" si="109"/>
        <v>0,999999858138708+0,00257360024735202i</v>
      </c>
      <c r="AA130" s="4">
        <f t="shared" si="124"/>
        <v>1.00000316984281</v>
      </c>
      <c r="AB130" s="4">
        <f t="shared" si="125"/>
        <v>0.00257359493045622</v>
      </c>
      <c r="AC130" s="67" t="str">
        <f t="shared" si="126"/>
        <v>13,5495439336008-24,318967152716i</v>
      </c>
      <c r="AD130" s="68">
        <f t="shared" si="127"/>
        <v>28.8930299372266</v>
      </c>
      <c r="AE130" s="31">
        <f t="shared" si="128"/>
        <v>-60.8752181875716</v>
      </c>
      <c r="AF130" s="32" t="str">
        <f t="shared" si="129"/>
        <v>432,040091031901</v>
      </c>
      <c r="AG130" s="32" t="str">
        <f t="shared" si="110"/>
        <v>1+1,37433978300484i</v>
      </c>
      <c r="AH130" s="32">
        <f t="shared" si="130"/>
        <v>1.69964991664454</v>
      </c>
      <c r="AI130" s="32">
        <f t="shared" si="131"/>
        <v>0.941771569239347</v>
      </c>
      <c r="AJ130" s="32" t="str">
        <f t="shared" si="111"/>
        <v>1+0,0129875109493958i</v>
      </c>
      <c r="AK130" s="32">
        <f t="shared" si="132"/>
        <v>1.0000843341642</v>
      </c>
      <c r="AL130" s="32">
        <f t="shared" si="133"/>
        <v>0.0129867807985787</v>
      </c>
      <c r="AM130" s="32" t="str">
        <f t="shared" si="112"/>
        <v>1-0,00383421514125213i</v>
      </c>
      <c r="AN130" s="32">
        <f t="shared" si="134"/>
        <v>1.00000735057586</v>
      </c>
      <c r="AO130" s="32">
        <f t="shared" si="135"/>
        <v>-0.00383419635222264</v>
      </c>
      <c r="AP130" s="30" t="str">
        <f t="shared" si="136"/>
        <v>151,445259831179-204,182654779302i</v>
      </c>
      <c r="AQ130" s="32">
        <f t="shared" si="137"/>
        <v>48.1040877645806</v>
      </c>
      <c r="AR130" s="31">
        <f t="shared" si="138"/>
        <v>-53.4351317224139</v>
      </c>
      <c r="AS130" t="str">
        <f t="shared" si="113"/>
        <v>-0,000201496259351621</v>
      </c>
      <c r="AT130" t="str">
        <f t="shared" si="114"/>
        <v>0,000186115670301609i</v>
      </c>
      <c r="AU130">
        <f t="shared" si="139"/>
        <v>0.000186115670301609</v>
      </c>
      <c r="AV130">
        <f t="shared" si="140"/>
        <v>1.5707963267949</v>
      </c>
      <c r="AW130" t="str">
        <f t="shared" si="115"/>
        <v>1+0,00952878094948255i</v>
      </c>
      <c r="AX130">
        <f t="shared" si="141"/>
        <v>1.00004539780271</v>
      </c>
      <c r="AY130">
        <f t="shared" si="142"/>
        <v>0.00952849256816843</v>
      </c>
      <c r="AZ130" t="str">
        <f t="shared" si="116"/>
        <v>1+0,455556825393346i</v>
      </c>
      <c r="BA130">
        <f t="shared" si="143"/>
        <v>1.09887761882862</v>
      </c>
      <c r="BB130">
        <f t="shared" si="144"/>
        <v>0.427465364613342</v>
      </c>
      <c r="BC130" s="30" t="str">
        <f t="shared" si="145"/>
        <v>-0,482843937103782+1,08724086068185i</v>
      </c>
      <c r="BD130" s="32">
        <f t="shared" si="146"/>
        <v>1.50827319754516</v>
      </c>
      <c r="BE130" s="31">
        <f t="shared" si="147"/>
        <v>113.946018871088</v>
      </c>
      <c r="BF130" s="30" t="str">
        <f t="shared" si="148"/>
        <v>19,8982596391521+26,4738836545296i</v>
      </c>
      <c r="BG130" s="68">
        <f t="shared" si="149"/>
        <v>30.4013031347718</v>
      </c>
      <c r="BH130" s="31">
        <f t="shared" si="150"/>
        <v>53.070800683516</v>
      </c>
      <c r="BI130" s="30" t="str">
        <f t="shared" si="156"/>
        <v>148,871299805962+263,245831566978i</v>
      </c>
      <c r="BJ130" s="68">
        <f t="shared" si="151"/>
        <v>49.6123609621258</v>
      </c>
      <c r="BK130" s="31">
        <f t="shared" si="157"/>
        <v>60.5108871486736</v>
      </c>
      <c r="BL130" s="32">
        <f t="shared" si="152"/>
        <v>30.4013031347718</v>
      </c>
      <c r="BM130" s="31">
        <f t="shared" si="153"/>
        <v>53.070800683516</v>
      </c>
      <c r="BO130">
        <f t="shared" si="154"/>
        <v>0</v>
      </c>
      <c r="BP130">
        <f t="shared" si="155"/>
        <v>0</v>
      </c>
    </row>
    <row r="131" spans="14:68">
      <c r="N131" s="7">
        <v>13</v>
      </c>
      <c r="O131" s="18">
        <f t="shared" si="158"/>
        <v>134.896288259165</v>
      </c>
      <c r="P131" s="86" t="str">
        <f t="shared" si="105"/>
        <v>54,5454545454545</v>
      </c>
      <c r="Q131" s="4" t="str">
        <f t="shared" si="106"/>
        <v>1+1,72597778463457i</v>
      </c>
      <c r="R131" s="4">
        <f t="shared" si="118"/>
        <v>1.99474291903795</v>
      </c>
      <c r="S131" s="4">
        <f t="shared" si="119"/>
        <v>1.04567529356083</v>
      </c>
      <c r="T131" s="4" t="str">
        <f t="shared" si="107"/>
        <v>1+0,0132900289416862i</v>
      </c>
      <c r="U131" s="4">
        <f t="shared" si="120"/>
        <v>1.00008830853544</v>
      </c>
      <c r="V131" s="4">
        <f t="shared" si="121"/>
        <v>0.013289246574721</v>
      </c>
      <c r="W131" t="str">
        <f t="shared" si="108"/>
        <v>1-0,0381410269372372i</v>
      </c>
      <c r="X131" s="4">
        <f t="shared" si="122"/>
        <v>1.00072710462734</v>
      </c>
      <c r="Y131" s="4">
        <f t="shared" si="123"/>
        <v>-0.0381225479975007</v>
      </c>
      <c r="Z131" t="str">
        <f t="shared" si="109"/>
        <v>0,999999851452991+0,00263354709804733i</v>
      </c>
      <c r="AA131" s="4">
        <f t="shared" si="124"/>
        <v>1.00000331923265</v>
      </c>
      <c r="AB131" s="4">
        <f t="shared" si="125"/>
        <v>0.00263354140089186</v>
      </c>
      <c r="AC131" s="67" t="str">
        <f t="shared" si="126"/>
        <v>13,0639739533169-24,0473484881994i</v>
      </c>
      <c r="AD131" s="68">
        <f t="shared" si="127"/>
        <v>28.7444840923392</v>
      </c>
      <c r="AE131" s="31">
        <f t="shared" si="128"/>
        <v>-61.4865152324848</v>
      </c>
      <c r="AF131" s="32" t="str">
        <f t="shared" si="129"/>
        <v>432,040091031901</v>
      </c>
      <c r="AG131" s="32" t="str">
        <f t="shared" si="110"/>
        <v>1+1,4063522689615i</v>
      </c>
      <c r="AH131" s="32">
        <f t="shared" si="130"/>
        <v>1.7256380571873</v>
      </c>
      <c r="AI131" s="32">
        <f t="shared" si="131"/>
        <v>0.952686446008485</v>
      </c>
      <c r="AJ131" s="32" t="str">
        <f t="shared" si="111"/>
        <v>1+0,0132900289416862i</v>
      </c>
      <c r="AK131" s="32">
        <f t="shared" si="132"/>
        <v>1.00008830853544</v>
      </c>
      <c r="AL131" s="32">
        <f t="shared" si="133"/>
        <v>0.013289246574721</v>
      </c>
      <c r="AM131" s="32" t="str">
        <f t="shared" si="112"/>
        <v>1-0,00392352548494005i</v>
      </c>
      <c r="AN131" s="32">
        <f t="shared" si="134"/>
        <v>1.00000769699649</v>
      </c>
      <c r="AO131" s="32">
        <f t="shared" si="135"/>
        <v>-0.00392350535214059</v>
      </c>
      <c r="AP131" s="30" t="str">
        <f t="shared" si="136"/>
        <v>147,004428212108-202,693306157382i</v>
      </c>
      <c r="AQ131" s="32">
        <f t="shared" si="137"/>
        <v>47.9723206351384</v>
      </c>
      <c r="AR131" s="31">
        <f t="shared" si="138"/>
        <v>-54.0482951115385</v>
      </c>
      <c r="AS131" t="str">
        <f t="shared" si="113"/>
        <v>-0,000201496259351621</v>
      </c>
      <c r="AT131" t="str">
        <f t="shared" si="114"/>
        <v>0,000190450861173271i</v>
      </c>
      <c r="AU131">
        <f t="shared" si="139"/>
        <v>0.000190450861173271</v>
      </c>
      <c r="AV131">
        <f t="shared" si="140"/>
        <v>1.5707963267949</v>
      </c>
      <c r="AW131" t="str">
        <f t="shared" si="115"/>
        <v>1+0,0097507347705838i</v>
      </c>
      <c r="AX131">
        <f t="shared" si="141"/>
        <v>1.00004753728439</v>
      </c>
      <c r="AY131">
        <f t="shared" si="142"/>
        <v>0.00975042576523177</v>
      </c>
      <c r="AZ131" t="str">
        <f t="shared" si="116"/>
        <v>1+0,466168107010676i</v>
      </c>
      <c r="BA131">
        <f t="shared" si="143"/>
        <v>1.10331894934961</v>
      </c>
      <c r="BB131">
        <f t="shared" si="144"/>
        <v>0.436217680426432</v>
      </c>
      <c r="BC131" s="30" t="str">
        <f t="shared" si="145"/>
        <v>-0,482841871132692+1,06270411570571i</v>
      </c>
      <c r="BD131" s="32">
        <f t="shared" si="146"/>
        <v>1.34328959755239</v>
      </c>
      <c r="BE131" s="31">
        <f t="shared" si="147"/>
        <v>114.434773792618</v>
      </c>
      <c r="BF131" s="30" t="str">
        <f t="shared" si="148"/>
        <v>19,2473825821707+25,4942056274842i</v>
      </c>
      <c r="BG131" s="68">
        <f t="shared" si="149"/>
        <v>30.0877736898916</v>
      </c>
      <c r="BH131" s="31">
        <f t="shared" si="150"/>
        <v>52.9482585601329</v>
      </c>
      <c r="BI131" s="30" t="str">
        <f t="shared" si="156"/>
        <v>144,423117496722+254,091026099074i</v>
      </c>
      <c r="BJ131" s="68">
        <f t="shared" si="151"/>
        <v>49.3156102326908</v>
      </c>
      <c r="BK131" s="31">
        <f t="shared" si="157"/>
        <v>60.3864786810792</v>
      </c>
      <c r="BL131" s="32">
        <f t="shared" si="152"/>
        <v>30.0877736898916</v>
      </c>
      <c r="BM131" s="31">
        <f t="shared" si="153"/>
        <v>52.9482585601329</v>
      </c>
      <c r="BO131">
        <f t="shared" si="154"/>
        <v>0</v>
      </c>
      <c r="BP131">
        <f t="shared" si="155"/>
        <v>0</v>
      </c>
    </row>
    <row r="132" spans="14:68">
      <c r="N132" s="7">
        <v>14</v>
      </c>
      <c r="O132" s="18">
        <f t="shared" si="158"/>
        <v>138.038426460289</v>
      </c>
      <c r="P132" s="86" t="str">
        <f t="shared" si="105"/>
        <v>54,5454545454545</v>
      </c>
      <c r="Q132" s="4" t="str">
        <f t="shared" si="106"/>
        <v>1+1,76618097184883i</v>
      </c>
      <c r="R132" s="4">
        <f t="shared" si="118"/>
        <v>2.02962933200151</v>
      </c>
      <c r="S132" s="4">
        <f t="shared" si="119"/>
        <v>1.05560562992513</v>
      </c>
      <c r="T132" s="4" t="str">
        <f t="shared" si="107"/>
        <v>1+0,013599593483236i</v>
      </c>
      <c r="U132" s="4">
        <f t="shared" si="120"/>
        <v>1.00009247019609</v>
      </c>
      <c r="V132" s="4">
        <f t="shared" si="121"/>
        <v>0.0135987551661153</v>
      </c>
      <c r="W132" t="str">
        <f t="shared" si="108"/>
        <v>1-0,0390294455832665i</v>
      </c>
      <c r="X132" s="4">
        <f t="shared" si="122"/>
        <v>1.00076135897752</v>
      </c>
      <c r="Y132" s="4">
        <f t="shared" si="123"/>
        <v>-0.0390096458560896</v>
      </c>
      <c r="Z132" t="str">
        <f t="shared" si="109"/>
        <v>0,999999844452186+0,00269489029027316i</v>
      </c>
      <c r="AA132" s="4">
        <f t="shared" si="124"/>
        <v>1.000003475663</v>
      </c>
      <c r="AB132" s="4">
        <f t="shared" si="125"/>
        <v>0.00269488418566223</v>
      </c>
      <c r="AC132" s="67" t="str">
        <f t="shared" si="126"/>
        <v>12,5893976649259-23,7692986025308i</v>
      </c>
      <c r="AD132" s="68">
        <f t="shared" si="127"/>
        <v>28.5942202151926</v>
      </c>
      <c r="AE132" s="31">
        <f t="shared" si="128"/>
        <v>-62.0920897052774</v>
      </c>
      <c r="AF132" s="32" t="str">
        <f t="shared" si="129"/>
        <v>432,040091031901</v>
      </c>
      <c r="AG132" s="32" t="str">
        <f t="shared" si="110"/>
        <v>1+1,43911042150645i</v>
      </c>
      <c r="AH132" s="32">
        <f t="shared" si="130"/>
        <v>1.75243796046778</v>
      </c>
      <c r="AI132" s="32">
        <f t="shared" si="131"/>
        <v>0.963519116491517</v>
      </c>
      <c r="AJ132" s="32" t="str">
        <f t="shared" si="111"/>
        <v>1+0,013599593483236i</v>
      </c>
      <c r="AK132" s="32">
        <f t="shared" si="132"/>
        <v>1.00009247019609</v>
      </c>
      <c r="AL132" s="32">
        <f t="shared" si="133"/>
        <v>0.0135987551661153</v>
      </c>
      <c r="AM132" s="32" t="str">
        <f t="shared" si="112"/>
        <v>1-0,00401491613377412i</v>
      </c>
      <c r="AN132" s="32">
        <f t="shared" si="134"/>
        <v>1.0000080597433</v>
      </c>
      <c r="AO132" s="32">
        <f t="shared" si="135"/>
        <v>-0.00401489456110022</v>
      </c>
      <c r="AP132" s="30" t="str">
        <f t="shared" si="136"/>
        <v>142,630235053658-201,119692813061i</v>
      </c>
      <c r="AQ132" s="32">
        <f t="shared" si="137"/>
        <v>47.8385010910673</v>
      </c>
      <c r="AR132" s="31">
        <f t="shared" si="138"/>
        <v>-54.6564640910288</v>
      </c>
      <c r="AS132" t="str">
        <f t="shared" si="113"/>
        <v>-0,000201496259351621</v>
      </c>
      <c r="AT132" t="str">
        <f t="shared" si="114"/>
        <v>0,000194887031612444i</v>
      </c>
      <c r="AU132">
        <f t="shared" si="139"/>
        <v>0.000194887031612444</v>
      </c>
      <c r="AV132">
        <f t="shared" si="140"/>
        <v>1.5707963267949</v>
      </c>
      <c r="AW132" t="str">
        <f t="shared" si="115"/>
        <v>1+0,00997785856032675i</v>
      </c>
      <c r="AX132">
        <f t="shared" si="141"/>
        <v>1.00004977759182</v>
      </c>
      <c r="AY132">
        <f t="shared" si="142"/>
        <v>0.00997752745601673</v>
      </c>
      <c r="AZ132" t="str">
        <f t="shared" si="116"/>
        <v>1+0,477026557128812i</v>
      </c>
      <c r="BA132">
        <f t="shared" si="143"/>
        <v>1.10795051162323</v>
      </c>
      <c r="BB132">
        <f t="shared" si="144"/>
        <v>0.445100526007049</v>
      </c>
      <c r="BC132" s="30" t="str">
        <f t="shared" si="145"/>
        <v>-0,482839707814333+1,03873082861917i</v>
      </c>
      <c r="BD132" s="32">
        <f t="shared" si="146"/>
        <v>1.17965584303279</v>
      </c>
      <c r="BE132" s="31">
        <f t="shared" si="147"/>
        <v>114.930711386051</v>
      </c>
      <c r="BF132" s="30" t="str">
        <f t="shared" si="148"/>
        <v>18,611242143012+24,5537566605023i</v>
      </c>
      <c r="BG132" s="68">
        <f t="shared" si="149"/>
        <v>29.7738760582253</v>
      </c>
      <c r="BH132" s="31">
        <f t="shared" si="150"/>
        <v>52.8386216807738</v>
      </c>
      <c r="BI132" s="30" t="str">
        <f t="shared" si="156"/>
        <v>140,041684148546+245,262995957i</v>
      </c>
      <c r="BJ132" s="68">
        <f t="shared" si="151"/>
        <v>49.0181569341001</v>
      </c>
      <c r="BK132" s="31">
        <f t="shared" si="157"/>
        <v>60.2742472950224</v>
      </c>
      <c r="BL132" s="32">
        <f t="shared" si="152"/>
        <v>29.7738760582253</v>
      </c>
      <c r="BM132" s="31">
        <f t="shared" si="153"/>
        <v>52.8386216807738</v>
      </c>
      <c r="BO132">
        <f t="shared" si="154"/>
        <v>0</v>
      </c>
      <c r="BP132">
        <f t="shared" si="155"/>
        <v>0</v>
      </c>
    </row>
    <row r="133" spans="14:68">
      <c r="N133" s="7">
        <v>15</v>
      </c>
      <c r="O133" s="18">
        <f t="shared" si="158"/>
        <v>141.253754462275</v>
      </c>
      <c r="P133" s="86" t="str">
        <f t="shared" si="105"/>
        <v>54,5454545454545</v>
      </c>
      <c r="Q133" s="4" t="str">
        <f t="shared" si="106"/>
        <v>1+1,8073206115925i</v>
      </c>
      <c r="R133" s="4">
        <f t="shared" si="118"/>
        <v>2.06552845371035</v>
      </c>
      <c r="S133" s="4">
        <f t="shared" si="119"/>
        <v>1.06541903085206</v>
      </c>
      <c r="T133" s="4" t="str">
        <f t="shared" si="107"/>
        <v>1+0,0139163687092623i</v>
      </c>
      <c r="U133" s="4">
        <f t="shared" si="120"/>
        <v>1.0000968279712</v>
      </c>
      <c r="V133" s="4">
        <f t="shared" si="121"/>
        <v>0.0139154704409806</v>
      </c>
      <c r="W133" t="str">
        <f t="shared" si="108"/>
        <v>1-0,0399385581579594i</v>
      </c>
      <c r="X133" s="4">
        <f t="shared" si="122"/>
        <v>1.00079722642888</v>
      </c>
      <c r="Y133" s="4">
        <f t="shared" si="123"/>
        <v>-0.0399173432807115</v>
      </c>
      <c r="Z133" t="str">
        <f t="shared" si="109"/>
        <v>0,999999837121444+0,00275766234900196i</v>
      </c>
      <c r="AA133" s="4">
        <f t="shared" si="124"/>
        <v>1.00000363946565</v>
      </c>
      <c r="AB133" s="4">
        <f t="shared" si="125"/>
        <v>0.00275765580779479</v>
      </c>
      <c r="AC133" s="67" t="str">
        <f t="shared" si="126"/>
        <v>12,1259319111956-23,4853287199041i</v>
      </c>
      <c r="AD133" s="68">
        <f t="shared" si="127"/>
        <v>28.4422789112776</v>
      </c>
      <c r="AE133" s="31">
        <f t="shared" si="128"/>
        <v>-62.6918134930306</v>
      </c>
      <c r="AF133" s="32" t="str">
        <f t="shared" si="129"/>
        <v>432,040091031901</v>
      </c>
      <c r="AG133" s="32" t="str">
        <f t="shared" si="110"/>
        <v>1+1,47263160944574i</v>
      </c>
      <c r="AH133" s="32">
        <f t="shared" si="130"/>
        <v>1.78006849787831</v>
      </c>
      <c r="AI133" s="32">
        <f t="shared" si="131"/>
        <v>0.974265155010246</v>
      </c>
      <c r="AJ133" s="32" t="str">
        <f t="shared" si="111"/>
        <v>1+0,0139163687092623i</v>
      </c>
      <c r="AK133" s="32">
        <f t="shared" si="132"/>
        <v>1.0000968279712</v>
      </c>
      <c r="AL133" s="32">
        <f t="shared" si="133"/>
        <v>0.0139154704409806</v>
      </c>
      <c r="AM133" s="32" t="str">
        <f t="shared" si="112"/>
        <v>1-0,00410843554428597i</v>
      </c>
      <c r="AN133" s="32">
        <f t="shared" si="134"/>
        <v>1.0000084395857</v>
      </c>
      <c r="AO133" s="32">
        <f t="shared" si="135"/>
        <v>-0.00410841242875996</v>
      </c>
      <c r="AP133" s="30" t="str">
        <f t="shared" si="136"/>
        <v>138,325722802102-199,465411460374i</v>
      </c>
      <c r="AQ133" s="32">
        <f t="shared" si="137"/>
        <v>47.7026609898495</v>
      </c>
      <c r="AR133" s="31">
        <f t="shared" si="138"/>
        <v>-55.2593784752059</v>
      </c>
      <c r="AS133" t="str">
        <f t="shared" si="113"/>
        <v>-0,000201496259351621</v>
      </c>
      <c r="AT133" t="str">
        <f t="shared" si="114"/>
        <v>0,00019942653373541i</v>
      </c>
      <c r="AU133">
        <f t="shared" si="139"/>
        <v>0.00019942653373541</v>
      </c>
      <c r="AV133">
        <f t="shared" si="140"/>
        <v>1.5707963267949</v>
      </c>
      <c r="AW133" t="str">
        <f t="shared" si="115"/>
        <v>1+0,0102102727427508i</v>
      </c>
      <c r="AX133">
        <f t="shared" si="141"/>
        <v>1.00005212347631</v>
      </c>
      <c r="AY133">
        <f t="shared" si="142"/>
        <v>0.0102099179590893</v>
      </c>
      <c r="AZ133" t="str">
        <f t="shared" si="116"/>
        <v>1+0,488137933041725i</v>
      </c>
      <c r="BA133">
        <f t="shared" si="143"/>
        <v>1.11277969143683</v>
      </c>
      <c r="BB133">
        <f t="shared" si="144"/>
        <v>0.454113002945814</v>
      </c>
      <c r="BC133" s="30" t="str">
        <f t="shared" si="145"/>
        <v>-0,4828374425627+1,01530828833231i</v>
      </c>
      <c r="BD133" s="32">
        <f t="shared" si="146"/>
        <v>1.01741204161413</v>
      </c>
      <c r="BE133" s="31">
        <f t="shared" si="147"/>
        <v>115.433773282576</v>
      </c>
      <c r="BF133" s="30" t="str">
        <f t="shared" si="148"/>
        <v>17,9899949508364+23,651155230053i</v>
      </c>
      <c r="BG133" s="68">
        <f t="shared" si="149"/>
        <v>29.4596909528918</v>
      </c>
      <c r="BH133" s="31">
        <f t="shared" si="150"/>
        <v>52.7419597895458</v>
      </c>
      <c r="BI133" s="30" t="str">
        <f t="shared" si="156"/>
        <v>135,730047252928+236,752621999775i</v>
      </c>
      <c r="BJ133" s="68">
        <f t="shared" si="151"/>
        <v>48.7200730314636</v>
      </c>
      <c r="BK133" s="31">
        <f t="shared" si="157"/>
        <v>60.1743948073705</v>
      </c>
      <c r="BL133" s="32">
        <f t="shared" si="152"/>
        <v>29.4596909528918</v>
      </c>
      <c r="BM133" s="31">
        <f t="shared" si="153"/>
        <v>52.7419597895458</v>
      </c>
      <c r="BO133">
        <f t="shared" si="154"/>
        <v>0</v>
      </c>
      <c r="BP133">
        <f t="shared" si="155"/>
        <v>0</v>
      </c>
    </row>
    <row r="134" spans="14:68">
      <c r="N134" s="7">
        <v>16</v>
      </c>
      <c r="O134" s="18">
        <f t="shared" si="158"/>
        <v>144.543977074593</v>
      </c>
      <c r="P134" s="86" t="str">
        <f t="shared" si="105"/>
        <v>54,5454545454545</v>
      </c>
      <c r="Q134" s="4" t="str">
        <f t="shared" si="106"/>
        <v>1+1,84941851664718i</v>
      </c>
      <c r="R134" s="4">
        <f t="shared" si="118"/>
        <v>2.10246256797058</v>
      </c>
      <c r="S134" s="4">
        <f t="shared" si="119"/>
        <v>1.07511313836822</v>
      </c>
      <c r="T134" s="4" t="str">
        <f t="shared" si="107"/>
        <v>1+0,0142405225781833i</v>
      </c>
      <c r="U134" s="4">
        <f t="shared" si="120"/>
        <v>1.00010139110157</v>
      </c>
      <c r="V134" s="4">
        <f t="shared" si="121"/>
        <v>0.0142395600716483</v>
      </c>
      <c r="W134" t="str">
        <f t="shared" si="108"/>
        <v>1-0,0408688466848374i</v>
      </c>
      <c r="X134" s="4">
        <f t="shared" si="122"/>
        <v>1.00083478288344</v>
      </c>
      <c r="Y134" s="4">
        <f t="shared" si="123"/>
        <v>-0.0408461155582227</v>
      </c>
      <c r="Z134" t="str">
        <f t="shared" si="109"/>
        <v>0,999999829445214+0,0028218965568102i</v>
      </c>
      <c r="AA134" s="4">
        <f t="shared" si="124"/>
        <v>1.00000381098806</v>
      </c>
      <c r="AB134" s="4">
        <f t="shared" si="125"/>
        <v>0.00282188954778188</v>
      </c>
      <c r="AC134" s="67" t="str">
        <f t="shared" si="126"/>
        <v>11,6736651320352-23,1959452142105i</v>
      </c>
      <c r="AD134" s="68">
        <f t="shared" si="127"/>
        <v>28.2887011891894</v>
      </c>
      <c r="AE134" s="31">
        <f t="shared" si="128"/>
        <v>-63.2855710256648</v>
      </c>
      <c r="AF134" s="32" t="str">
        <f t="shared" si="129"/>
        <v>432,040091031901</v>
      </c>
      <c r="AG134" s="32" t="str">
        <f t="shared" si="110"/>
        <v>1+1,50693360615697i</v>
      </c>
      <c r="AH134" s="32">
        <f t="shared" si="130"/>
        <v>1.80854883632299</v>
      </c>
      <c r="AI134" s="32">
        <f t="shared" si="131"/>
        <v>0.984920331894843</v>
      </c>
      <c r="AJ134" s="32" t="str">
        <f t="shared" si="111"/>
        <v>1+0,0142405225781833i</v>
      </c>
      <c r="AK134" s="32">
        <f t="shared" si="132"/>
        <v>1.00010139110157</v>
      </c>
      <c r="AL134" s="32">
        <f t="shared" si="133"/>
        <v>0.0142395600716483</v>
      </c>
      <c r="AM134" s="32" t="str">
        <f t="shared" si="112"/>
        <v>1-0,00420413330170502i</v>
      </c>
      <c r="AN134" s="32">
        <f t="shared" si="134"/>
        <v>1.00000883732936</v>
      </c>
      <c r="AO134" s="32">
        <f t="shared" si="135"/>
        <v>-0.00420410853298447</v>
      </c>
      <c r="AP134" s="30" t="str">
        <f t="shared" si="136"/>
        <v>134,093692473694-197,734169025646i</v>
      </c>
      <c r="AQ134" s="32">
        <f t="shared" si="137"/>
        <v>47.5648335546737</v>
      </c>
      <c r="AR134" s="31">
        <f t="shared" si="138"/>
        <v>-55.8567891555253</v>
      </c>
      <c r="AS134" t="str">
        <f t="shared" si="113"/>
        <v>-0,000201496259351621</v>
      </c>
      <c r="AT134" t="str">
        <f t="shared" si="114"/>
        <v>0,000204071774446288i</v>
      </c>
      <c r="AU134">
        <f t="shared" si="139"/>
        <v>0.000204071774446288</v>
      </c>
      <c r="AV134">
        <f t="shared" si="140"/>
        <v>1.5707963267949</v>
      </c>
      <c r="AW134" t="str">
        <f t="shared" si="115"/>
        <v>1+0,0104481005469322i</v>
      </c>
      <c r="AX134">
        <f t="shared" si="141"/>
        <v>1.00005457991304</v>
      </c>
      <c r="AY134">
        <f t="shared" si="142"/>
        <v>0.0104477203905102</v>
      </c>
      <c r="AZ134" t="str">
        <f t="shared" si="116"/>
        <v>1+0,499508126148012i</v>
      </c>
      <c r="BA134">
        <f t="shared" si="143"/>
        <v>1.11781410265209</v>
      </c>
      <c r="BB134">
        <f t="shared" si="144"/>
        <v>0.463254032503539</v>
      </c>
      <c r="BC134" s="30" t="str">
        <f t="shared" si="145"/>
        <v>-0,482835070575824+0,992424075758696i</v>
      </c>
      <c r="BD134" s="32">
        <f t="shared" si="146"/>
        <v>0.856598575255735</v>
      </c>
      <c r="BE134" s="31">
        <f t="shared" si="147"/>
        <v>115.94389062096</v>
      </c>
      <c r="BF134" s="30" t="str">
        <f t="shared" si="148"/>
        <v>17,3837595626575+22,7850421739528i</v>
      </c>
      <c r="BG134" s="68">
        <f t="shared" si="149"/>
        <v>29.1452997644451</v>
      </c>
      <c r="BH134" s="31">
        <f t="shared" si="150"/>
        <v>52.6583195952952</v>
      </c>
      <c r="BI134" s="30" t="str">
        <f t="shared" si="156"/>
        <v>131,491012471882+228,550800275026i</v>
      </c>
      <c r="BJ134" s="68">
        <f t="shared" si="151"/>
        <v>48.4214321299294</v>
      </c>
      <c r="BK134" s="31">
        <f t="shared" si="157"/>
        <v>60.0871014654347</v>
      </c>
      <c r="BL134" s="32">
        <f t="shared" si="152"/>
        <v>29.1452997644451</v>
      </c>
      <c r="BM134" s="31">
        <f t="shared" si="153"/>
        <v>52.6583195952952</v>
      </c>
      <c r="BO134">
        <f t="shared" si="154"/>
        <v>0</v>
      </c>
      <c r="BP134">
        <f t="shared" si="155"/>
        <v>0</v>
      </c>
    </row>
    <row r="135" spans="14:68">
      <c r="N135" s="7">
        <v>17</v>
      </c>
      <c r="O135" s="18">
        <f t="shared" si="158"/>
        <v>147.910838816821</v>
      </c>
      <c r="P135" s="86" t="str">
        <f t="shared" si="105"/>
        <v>54,5454545454545</v>
      </c>
      <c r="Q135" s="4" t="str">
        <f t="shared" si="106"/>
        <v>1+1,89249700787933i</v>
      </c>
      <c r="R135" s="4">
        <f t="shared" si="118"/>
        <v>2.14045437345257</v>
      </c>
      <c r="S135" s="4">
        <f t="shared" si="119"/>
        <v>1.08468580357065</v>
      </c>
      <c r="T135" s="4" t="str">
        <f t="shared" si="107"/>
        <v>1+0,0145722269606709i</v>
      </c>
      <c r="U135" s="4">
        <f t="shared" si="120"/>
        <v>1.00010616926334</v>
      </c>
      <c r="V135" s="4">
        <f t="shared" si="121"/>
        <v>0.0145711956222504</v>
      </c>
      <c r="W135" t="str">
        <f t="shared" si="108"/>
        <v>1-0,0418208044151906i</v>
      </c>
      <c r="X135" s="4">
        <f t="shared" si="122"/>
        <v>1.00087410780874</v>
      </c>
      <c r="Y135" s="4">
        <f t="shared" si="123"/>
        <v>-0.0417964487229182</v>
      </c>
      <c r="Z135" t="str">
        <f t="shared" si="109"/>
        <v>0,999999821407214+0,00288762697152507i</v>
      </c>
      <c r="AA135" s="4">
        <f t="shared" si="124"/>
        <v>1.00000399059403</v>
      </c>
      <c r="AB135" s="4">
        <f t="shared" si="125"/>
        <v>0.00288761946121753</v>
      </c>
      <c r="AC135" s="67" t="str">
        <f t="shared" si="126"/>
        <v>11,2326583828274-22,9016479514043i</v>
      </c>
      <c r="AD135" s="68">
        <f t="shared" si="127"/>
        <v>28.1335283614415</v>
      </c>
      <c r="AE135" s="31">
        <f t="shared" si="128"/>
        <v>-63.8732591491656</v>
      </c>
      <c r="AF135" s="32" t="str">
        <f t="shared" si="129"/>
        <v>432,040091031901</v>
      </c>
      <c r="AG135" s="32" t="str">
        <f t="shared" si="110"/>
        <v>1+1,54203459901279i</v>
      </c>
      <c r="AH135" s="32">
        <f t="shared" si="130"/>
        <v>1.83789844783452</v>
      </c>
      <c r="AI135" s="32">
        <f t="shared" si="131"/>
        <v>0.995480618900415</v>
      </c>
      <c r="AJ135" s="32" t="str">
        <f t="shared" si="111"/>
        <v>1+0,0145722269606709i</v>
      </c>
      <c r="AK135" s="32">
        <f t="shared" si="132"/>
        <v>1.00010616926334</v>
      </c>
      <c r="AL135" s="32">
        <f t="shared" si="133"/>
        <v>0.0145711956222504</v>
      </c>
      <c r="AM135" s="32" t="str">
        <f t="shared" si="112"/>
        <v>1-0,0043020601462489i</v>
      </c>
      <c r="AN135" s="32">
        <f t="shared" si="134"/>
        <v>1.00000925381793</v>
      </c>
      <c r="AO135" s="32">
        <f t="shared" si="135"/>
        <v>-0.00430203360609993</v>
      </c>
      <c r="AP135" s="30" t="str">
        <f t="shared" si="136"/>
        <v>129,936700572815-195,929764159429i</v>
      </c>
      <c r="AQ135" s="32">
        <f t="shared" si="137"/>
        <v>47.4250532613249</v>
      </c>
      <c r="AR135" s="31">
        <f t="shared" si="138"/>
        <v>-56.4484584074033</v>
      </c>
      <c r="AS135" t="str">
        <f t="shared" si="113"/>
        <v>-0,000201496259351621</v>
      </c>
      <c r="AT135" t="str">
        <f t="shared" si="114"/>
        <v>0,000208825216713185i</v>
      </c>
      <c r="AU135">
        <f t="shared" si="139"/>
        <v>0.000208825216713185</v>
      </c>
      <c r="AV135">
        <f t="shared" si="140"/>
        <v>1.5707963267949</v>
      </c>
      <c r="AW135" t="str">
        <f t="shared" si="115"/>
        <v>1+0,0106914680723204i</v>
      </c>
      <c r="AX135">
        <f t="shared" si="141"/>
        <v>1.00005715211159</v>
      </c>
      <c r="AY135">
        <f t="shared" si="142"/>
        <v>0.0106910607286325</v>
      </c>
      <c r="AZ135" t="str">
        <f t="shared" si="116"/>
        <v>1+0,511143165074551i</v>
      </c>
      <c r="BA135">
        <f t="shared" si="143"/>
        <v>1.12306159011981</v>
      </c>
      <c r="BB135">
        <f t="shared" si="144"/>
        <v>0.47252234993868</v>
      </c>
      <c r="BC135" s="30" t="str">
        <f t="shared" si="145"/>
        <v>-0,482832586825628+0,970066057230046i</v>
      </c>
      <c r="BD135" s="32">
        <f t="shared" si="146"/>
        <v>0.697256028273013</v>
      </c>
      <c r="BE135" s="31">
        <f t="shared" si="147"/>
        <v>116.460983718821</v>
      </c>
      <c r="BF135" s="30" t="str">
        <f t="shared" si="148"/>
        <v>16,7926178283802+21,9540825525878i</v>
      </c>
      <c r="BG135" s="68">
        <f t="shared" si="149"/>
        <v>28.8307843897145</v>
      </c>
      <c r="BH135" s="31">
        <f t="shared" si="150"/>
        <v>52.5877245696557</v>
      </c>
      <c r="BI135" s="30" t="str">
        <f t="shared" si="156"/>
        <v>127,327140550991+220,648457679384i</v>
      </c>
      <c r="BJ135" s="68">
        <f t="shared" si="151"/>
        <v>48.1223092895979</v>
      </c>
      <c r="BK135" s="31">
        <f t="shared" si="157"/>
        <v>60.012525311418</v>
      </c>
      <c r="BL135" s="32">
        <f t="shared" si="152"/>
        <v>28.8307843897145</v>
      </c>
      <c r="BM135" s="31">
        <f t="shared" si="153"/>
        <v>52.5877245696557</v>
      </c>
      <c r="BO135">
        <f t="shared" si="154"/>
        <v>0</v>
      </c>
      <c r="BP135">
        <f t="shared" si="155"/>
        <v>0</v>
      </c>
    </row>
    <row r="136" spans="14:68">
      <c r="N136" s="7">
        <v>18</v>
      </c>
      <c r="O136" s="18">
        <f t="shared" si="158"/>
        <v>151.356124843621</v>
      </c>
      <c r="P136" s="86" t="str">
        <f t="shared" si="105"/>
        <v>54,5454545454545</v>
      </c>
      <c r="Q136" s="4" t="str">
        <f t="shared" si="106"/>
        <v>1+1,93657892607521i</v>
      </c>
      <c r="R136" s="4">
        <f t="shared" si="118"/>
        <v>2.17952699843765</v>
      </c>
      <c r="S136" s="4">
        <f t="shared" si="119"/>
        <v>1.09413508359836</v>
      </c>
      <c r="T136" s="4" t="str">
        <f t="shared" si="107"/>
        <v>1+0,0149116577307792i</v>
      </c>
      <c r="U136" s="4">
        <f t="shared" si="120"/>
        <v>1.00011117258847</v>
      </c>
      <c r="V136" s="4">
        <f t="shared" si="121"/>
        <v>0.0149105526383859</v>
      </c>
      <c r="W136" t="str">
        <f t="shared" si="108"/>
        <v>1-0,0427949360896086i</v>
      </c>
      <c r="X136" s="4">
        <f t="shared" si="122"/>
        <v>1.00091528440469</v>
      </c>
      <c r="Y136" s="4">
        <f t="shared" si="123"/>
        <v>-0.0427688397838889</v>
      </c>
      <c r="Z136" t="str">
        <f t="shared" si="109"/>
        <v>0,999999812990396+0,0029548884442825i</v>
      </c>
      <c r="AA136" s="4">
        <f t="shared" si="124"/>
        <v>1.00000417866454</v>
      </c>
      <c r="AB136" s="4">
        <f t="shared" si="125"/>
        <v>0.0029548803968448</v>
      </c>
      <c r="AC136" s="67" t="str">
        <f t="shared" si="126"/>
        <v>10,8029464447862-22,6029287604486i</v>
      </c>
      <c r="AD136" s="68">
        <f t="shared" si="127"/>
        <v>27.9768019491969</v>
      </c>
      <c r="AE136" s="31">
        <f t="shared" si="128"/>
        <v>-64.4547869609857</v>
      </c>
      <c r="AF136" s="32" t="str">
        <f t="shared" si="129"/>
        <v>432,040091031901</v>
      </c>
      <c r="AG136" s="32" t="str">
        <f t="shared" si="110"/>
        <v>1+1,57795319902425i</v>
      </c>
      <c r="AH136" s="32">
        <f t="shared" si="130"/>
        <v>1.86813711978293</v>
      </c>
      <c r="AI136" s="32">
        <f t="shared" si="131"/>
        <v>1.00594219363612</v>
      </c>
      <c r="AJ136" s="32" t="str">
        <f t="shared" si="111"/>
        <v>1+0,0149116577307792i</v>
      </c>
      <c r="AK136" s="32">
        <f t="shared" si="132"/>
        <v>1.00011117258847</v>
      </c>
      <c r="AL136" s="32">
        <f t="shared" si="133"/>
        <v>0.0149105526383859</v>
      </c>
      <c r="AM136" s="32" t="str">
        <f t="shared" si="112"/>
        <v>1-0,00440226800002681i</v>
      </c>
      <c r="AN136" s="32">
        <f t="shared" si="134"/>
        <v>1.00000968993482</v>
      </c>
      <c r="AO136" s="32">
        <f t="shared" si="135"/>
        <v>-0.00440223956175971</v>
      </c>
      <c r="AP136" s="30" t="str">
        <f t="shared" si="136"/>
        <v>125,857057583204-194,056068937233i</v>
      </c>
      <c r="AQ136" s="32">
        <f t="shared" si="137"/>
        <v>47.2833557240142</v>
      </c>
      <c r="AR136" s="31">
        <f t="shared" si="138"/>
        <v>-57.0341601403889</v>
      </c>
      <c r="AS136" t="str">
        <f t="shared" si="113"/>
        <v>-0,000201496259351621</v>
      </c>
      <c r="AT136" t="str">
        <f t="shared" si="114"/>
        <v>0,000213689380874112i</v>
      </c>
      <c r="AU136">
        <f t="shared" si="139"/>
        <v>0.000213689380874112</v>
      </c>
      <c r="AV136">
        <f t="shared" si="140"/>
        <v>1.5707963267949</v>
      </c>
      <c r="AW136" t="str">
        <f t="shared" si="115"/>
        <v>1+0,0109405043555989i</v>
      </c>
      <c r="AX136">
        <f t="shared" si="141"/>
        <v>1.00005984552703</v>
      </c>
      <c r="AY136">
        <f t="shared" si="142"/>
        <v>0.0109400678803842</v>
      </c>
      <c r="AZ136" t="str">
        <f t="shared" si="116"/>
        <v>1+0,523049218872993i</v>
      </c>
      <c r="BA136">
        <f t="shared" si="143"/>
        <v>1.12853023236582</v>
      </c>
      <c r="BB136">
        <f t="shared" si="144"/>
        <v>0.481916499199138</v>
      </c>
      <c r="BC136" s="30" t="str">
        <f t="shared" si="145"/>
        <v>-0,482829986047284+0,948222378061924i</v>
      </c>
      <c r="BD136" s="32">
        <f t="shared" si="146"/>
        <v>0.539425110447549</v>
      </c>
      <c r="BE136" s="31">
        <f t="shared" si="147"/>
        <v>116.984961764698</v>
      </c>
      <c r="BF136" s="30" t="str">
        <f t="shared" si="148"/>
        <v>16,2166163791912+21,1569673459859i</v>
      </c>
      <c r="BG136" s="68">
        <f t="shared" si="149"/>
        <v>28.5162270596445</v>
      </c>
      <c r="BH136" s="31">
        <f t="shared" si="150"/>
        <v>52.5301748037119</v>
      </c>
      <c r="BI136" s="30" t="str">
        <f t="shared" si="156"/>
        <v>123,240745808161+213,036567494777i</v>
      </c>
      <c r="BJ136" s="68">
        <f t="shared" si="151"/>
        <v>47.8227808344617</v>
      </c>
      <c r="BK136" s="31">
        <f t="shared" si="157"/>
        <v>59.9508016243088</v>
      </c>
      <c r="BL136" s="32">
        <f t="shared" si="152"/>
        <v>28.5162270596445</v>
      </c>
      <c r="BM136" s="31">
        <f t="shared" si="153"/>
        <v>52.5301748037119</v>
      </c>
      <c r="BO136">
        <f t="shared" si="154"/>
        <v>0</v>
      </c>
      <c r="BP136">
        <f t="shared" si="155"/>
        <v>0</v>
      </c>
    </row>
    <row r="137" spans="14:68">
      <c r="N137" s="7">
        <v>19</v>
      </c>
      <c r="O137" s="18">
        <f t="shared" si="158"/>
        <v>154.881661891248</v>
      </c>
      <c r="P137" s="86" t="str">
        <f t="shared" si="105"/>
        <v>54,5454545454545</v>
      </c>
      <c r="Q137" s="4" t="str">
        <f t="shared" si="106"/>
        <v>1+1,98168764405135i</v>
      </c>
      <c r="R137" s="4">
        <f t="shared" si="118"/>
        <v>2.21970401598632</v>
      </c>
      <c r="S137" s="4">
        <f t="shared" si="119"/>
        <v>1.10345923799561</v>
      </c>
      <c r="T137" s="4" t="str">
        <f t="shared" si="107"/>
        <v>1+0,0152589948591954i</v>
      </c>
      <c r="U137" s="4">
        <f t="shared" si="120"/>
        <v>1.00011641168622</v>
      </c>
      <c r="V137" s="4">
        <f t="shared" si="121"/>
        <v>0.0152578107388058</v>
      </c>
      <c r="W137" t="str">
        <f t="shared" si="108"/>
        <v>1-0,0437917582055991i</v>
      </c>
      <c r="X137" s="4">
        <f t="shared" si="122"/>
        <v>1.0009583997783</v>
      </c>
      <c r="Y137" s="4">
        <f t="shared" si="123"/>
        <v>-0.0437637969560441</v>
      </c>
      <c r="Z137" t="str">
        <f t="shared" si="109"/>
        <v>0,999999804176905+0,00302371663800565i</v>
      </c>
      <c r="AA137" s="4">
        <f t="shared" si="124"/>
        <v>1.0000043755985</v>
      </c>
      <c r="AB137" s="4">
        <f t="shared" si="125"/>
        <v>0.00302370801502283</v>
      </c>
      <c r="AC137" s="67" t="str">
        <f t="shared" si="126"/>
        <v>10,3845390128075-22,3002700359464i</v>
      </c>
      <c r="AD137" s="68">
        <f t="shared" si="127"/>
        <v>27.8185635912245</v>
      </c>
      <c r="AE137" s="31">
        <f t="shared" si="128"/>
        <v>-65.030075610717</v>
      </c>
      <c r="AF137" s="32" t="str">
        <f t="shared" si="129"/>
        <v>432,040091031901</v>
      </c>
      <c r="AG137" s="32" t="str">
        <f t="shared" si="110"/>
        <v>1+1,61470845070851i</v>
      </c>
      <c r="AH137" s="32">
        <f t="shared" si="130"/>
        <v>1.89928496566194</v>
      </c>
      <c r="AI137" s="32">
        <f t="shared" si="131"/>
        <v>1.01630144302064</v>
      </c>
      <c r="AJ137" s="32" t="str">
        <f t="shared" si="111"/>
        <v>1+0,0152589948591954i</v>
      </c>
      <c r="AK137" s="32">
        <f t="shared" si="132"/>
        <v>1.00011641168622</v>
      </c>
      <c r="AL137" s="32">
        <f t="shared" si="133"/>
        <v>0.0152578107388058</v>
      </c>
      <c r="AM137" s="32" t="str">
        <f t="shared" si="112"/>
        <v>1-0,00450480999456924i</v>
      </c>
      <c r="AN137" s="32">
        <f t="shared" si="134"/>
        <v>1.00001014660507</v>
      </c>
      <c r="AO137" s="32">
        <f t="shared" si="135"/>
        <v>-0.00450477952243373</v>
      </c>
      <c r="AP137" s="30" t="str">
        <f t="shared" si="136"/>
        <v>121,856827969667-192,117010891267i</v>
      </c>
      <c r="AQ137" s="32">
        <f t="shared" si="137"/>
        <v>47.1397775808702</v>
      </c>
      <c r="AR137" s="31">
        <f t="shared" si="138"/>
        <v>-57.6136800924674</v>
      </c>
      <c r="AS137" t="str">
        <f t="shared" si="113"/>
        <v>-0,000201496259351621</v>
      </c>
      <c r="AT137" t="str">
        <f t="shared" si="114"/>
        <v>0,000218666845973291i</v>
      </c>
      <c r="AU137">
        <f t="shared" si="139"/>
        <v>0.000218666845973291</v>
      </c>
      <c r="AV137">
        <f t="shared" si="140"/>
        <v>1.5707963267949</v>
      </c>
      <c r="AW137" t="str">
        <f t="shared" si="115"/>
        <v>1+0,0111953414391014i</v>
      </c>
      <c r="AX137">
        <f t="shared" si="141"/>
        <v>1.00006266587146</v>
      </c>
      <c r="AY137">
        <f t="shared" si="142"/>
        <v>0.0111948737490654</v>
      </c>
      <c r="AZ137" t="str">
        <f t="shared" si="116"/>
        <v>1+0,535232600290655i</v>
      </c>
      <c r="BA137">
        <f t="shared" si="143"/>
        <v>1.13422834403567</v>
      </c>
      <c r="BB137">
        <f t="shared" si="144"/>
        <v>0.49143482803228</v>
      </c>
      <c r="BC137" s="30" t="str">
        <f t="shared" si="145"/>
        <v>-0,48282726272806+0,926881456267514i</v>
      </c>
      <c r="BD137" s="32">
        <f t="shared" si="146"/>
        <v>0.383146575315415</v>
      </c>
      <c r="BE137" s="31">
        <f t="shared" si="147"/>
        <v>117.515722533984</v>
      </c>
      <c r="BF137" s="30" t="str">
        <f t="shared" si="148"/>
        <v>15,6557682198302+20,3924149824104i</v>
      </c>
      <c r="BG137" s="68">
        <f t="shared" si="149"/>
        <v>28.2017101665399</v>
      </c>
      <c r="BH137" s="31">
        <f t="shared" si="150"/>
        <v>52.4856469232668</v>
      </c>
      <c r="BI137" s="30" t="str">
        <f t="shared" si="156"/>
        <v>119,233896135341+205,706164656792i</v>
      </c>
      <c r="BJ137" s="68">
        <f t="shared" si="151"/>
        <v>47.5229241561856</v>
      </c>
      <c r="BK137" s="31">
        <f t="shared" si="157"/>
        <v>59.9020424415163</v>
      </c>
      <c r="BL137" s="32">
        <f t="shared" si="152"/>
        <v>28.2017101665399</v>
      </c>
      <c r="BM137" s="31">
        <f t="shared" si="153"/>
        <v>52.4856469232668</v>
      </c>
      <c r="BO137">
        <f t="shared" si="154"/>
        <v>0</v>
      </c>
      <c r="BP137">
        <f t="shared" si="155"/>
        <v>0</v>
      </c>
    </row>
    <row r="138" spans="14:68">
      <c r="N138" s="7">
        <v>20</v>
      </c>
      <c r="O138" s="18">
        <f t="shared" si="158"/>
        <v>158.489319246112</v>
      </c>
      <c r="P138" s="86" t="str">
        <f t="shared" si="105"/>
        <v>54,5454545454545</v>
      </c>
      <c r="Q138" s="4" t="str">
        <f t="shared" si="106"/>
        <v>1+2,02784707904711i</v>
      </c>
      <c r="R138" s="4">
        <f t="shared" si="118"/>
        <v>2.26100945951137</v>
      </c>
      <c r="S138" s="4">
        <f t="shared" si="119"/>
        <v>1.112656724522</v>
      </c>
      <c r="T138" s="4" t="str">
        <f t="shared" si="107"/>
        <v>1+0,0156144225086628i</v>
      </c>
      <c r="U138" s="4">
        <f t="shared" si="120"/>
        <v>1.00012189766562</v>
      </c>
      <c r="V138" s="4">
        <f t="shared" si="121"/>
        <v>0.0156131537091577</v>
      </c>
      <c r="W138" t="str">
        <f t="shared" si="108"/>
        <v>1-0,044811799291443i</v>
      </c>
      <c r="X138" s="4">
        <f t="shared" si="122"/>
        <v>1.00100354512646</v>
      </c>
      <c r="Y138" s="4">
        <f t="shared" si="123"/>
        <v>-0.0447818398947775</v>
      </c>
      <c r="Z138" t="str">
        <f t="shared" si="109"/>
        <v>0,999999794948046+0,00309414804631392i</v>
      </c>
      <c r="AA138" s="4">
        <f t="shared" si="124"/>
        <v>1.00000458181364</v>
      </c>
      <c r="AB138" s="4">
        <f t="shared" si="125"/>
        <v>0.00309413880662365</v>
      </c>
      <c r="AC138" s="67" t="str">
        <f t="shared" si="126"/>
        <v>9,97742194661141-21,994143474002i</v>
      </c>
      <c r="AD138" s="68">
        <f t="shared" si="127"/>
        <v>27.6588549573391</v>
      </c>
      <c r="AE138" s="31">
        <f t="shared" si="128"/>
        <v>-65.5990580691856</v>
      </c>
      <c r="AF138" s="32" t="str">
        <f t="shared" si="129"/>
        <v>432,040091031901</v>
      </c>
      <c r="AG138" s="32" t="str">
        <f t="shared" si="110"/>
        <v>1+1,65231984218654i</v>
      </c>
      <c r="AH138" s="32">
        <f t="shared" si="130"/>
        <v>1.9313624364379</v>
      </c>
      <c r="AI138" s="32">
        <f t="shared" si="131"/>
        <v>1.02655496578541</v>
      </c>
      <c r="AJ138" s="32" t="str">
        <f t="shared" si="111"/>
        <v>1+0,0156144225086628i</v>
      </c>
      <c r="AK138" s="32">
        <f t="shared" si="132"/>
        <v>1.00012189766562</v>
      </c>
      <c r="AL138" s="32">
        <f t="shared" si="133"/>
        <v>0.0156131537091577</v>
      </c>
      <c r="AM138" s="32" t="str">
        <f t="shared" si="112"/>
        <v>1-0,00460974049899902i</v>
      </c>
      <c r="AN138" s="32">
        <f t="shared" si="134"/>
        <v>1.00001062479729</v>
      </c>
      <c r="AO138" s="32">
        <f t="shared" si="135"/>
        <v>-0.00460970784753628</v>
      </c>
      <c r="AP138" s="30" t="str">
        <f t="shared" si="136"/>
        <v>117,937831614546-190,116555503937i</v>
      </c>
      <c r="AQ138" s="32">
        <f t="shared" si="137"/>
        <v>46.9943563797777</v>
      </c>
      <c r="AR138" s="31">
        <f t="shared" si="138"/>
        <v>-58.1868159697288</v>
      </c>
      <c r="AS138" t="str">
        <f t="shared" si="113"/>
        <v>-0,000201496259351621</v>
      </c>
      <c r="AT138" t="str">
        <f t="shared" si="114"/>
        <v>0,000223760251128605i</v>
      </c>
      <c r="AU138">
        <f t="shared" si="139"/>
        <v>0.000223760251128605</v>
      </c>
      <c r="AV138">
        <f t="shared" si="140"/>
        <v>1.5707963267949</v>
      </c>
      <c r="AW138" t="str">
        <f t="shared" si="115"/>
        <v>1+0,0114561144408228i</v>
      </c>
      <c r="AX138">
        <f t="shared" si="141"/>
        <v>1.00006561912611</v>
      </c>
      <c r="AY138">
        <f t="shared" si="142"/>
        <v>0.0114556133036962</v>
      </c>
      <c r="AZ138" t="str">
        <f t="shared" si="116"/>
        <v>1+0,547699769117636i</v>
      </c>
      <c r="BA138">
        <f t="shared" si="143"/>
        <v>1.14016447808705</v>
      </c>
      <c r="BB138">
        <f t="shared" si="144"/>
        <v>0.501075483568181</v>
      </c>
      <c r="BC138" s="30" t="str">
        <f t="shared" si="145"/>
        <v>-0,482824411095682+0,90603197641579i</v>
      </c>
      <c r="BD138" s="32">
        <f t="shared" si="146"/>
        <v>0.228461133765692</v>
      </c>
      <c r="BE138" s="31">
        <f t="shared" si="147"/>
        <v>118.053152131898</v>
      </c>
      <c r="BF138" s="30" t="str">
        <f t="shared" si="148"/>
        <v>15,1100544056967+19,6591726962116i</v>
      </c>
      <c r="BG138" s="68">
        <f t="shared" si="149"/>
        <v>27.8873160911048</v>
      </c>
      <c r="BH138" s="31">
        <f t="shared" si="150"/>
        <v>52.4540940627123</v>
      </c>
      <c r="BI138" s="30" t="str">
        <f t="shared" si="156"/>
        <v>115,308414437399+198,648360622648i</v>
      </c>
      <c r="BJ138" s="68">
        <f t="shared" si="151"/>
        <v>47.2228175135434</v>
      </c>
      <c r="BK138" s="31">
        <f t="shared" si="157"/>
        <v>59.8663361621693</v>
      </c>
      <c r="BL138" s="32">
        <f t="shared" si="152"/>
        <v>27.8873160911048</v>
      </c>
      <c r="BM138" s="31">
        <f t="shared" si="153"/>
        <v>52.4540940627123</v>
      </c>
      <c r="BO138">
        <f t="shared" si="154"/>
        <v>0</v>
      </c>
      <c r="BP138">
        <f t="shared" si="155"/>
        <v>0</v>
      </c>
    </row>
    <row r="139" spans="14:68">
      <c r="N139" s="7">
        <v>21</v>
      </c>
      <c r="O139" s="18">
        <f t="shared" si="158"/>
        <v>162.181009735893</v>
      </c>
      <c r="P139" s="86" t="str">
        <f t="shared" si="105"/>
        <v>54,5454545454545</v>
      </c>
      <c r="Q139" s="4" t="str">
        <f t="shared" si="106"/>
        <v>1+2,07508170540589i</v>
      </c>
      <c r="R139" s="4">
        <f t="shared" si="118"/>
        <v>2.30346783874015</v>
      </c>
      <c r="S139" s="4">
        <f t="shared" si="119"/>
        <v>1.12172619446497</v>
      </c>
      <c r="T139" s="4" t="str">
        <f t="shared" si="107"/>
        <v>1+0,0159781291316254i</v>
      </c>
      <c r="U139" s="4">
        <f t="shared" si="120"/>
        <v>1.00012764215901</v>
      </c>
      <c r="V139" s="4">
        <f t="shared" si="121"/>
        <v>0.0159767695978323</v>
      </c>
      <c r="W139" t="str">
        <f t="shared" si="108"/>
        <v>1-0,045855600186425i</v>
      </c>
      <c r="X139" s="4">
        <f t="shared" si="122"/>
        <v>1.00105081592717</v>
      </c>
      <c r="Y139" s="4">
        <f t="shared" si="123"/>
        <v>-0.0458234999342336</v>
      </c>
      <c r="Z139" t="str">
        <f t="shared" si="109"/>
        <v>0,999999785284246+0,0031662200128722i</v>
      </c>
      <c r="AA139" s="4">
        <f t="shared" si="124"/>
        <v>1.00000479774734</v>
      </c>
      <c r="AB139" s="4">
        <f t="shared" si="125"/>
        <v>0.00316621011236826</v>
      </c>
      <c r="AC139" s="67" t="str">
        <f t="shared" si="126"/>
        <v>9,58155857146009-21,6850089414205i</v>
      </c>
      <c r="AD139" s="68">
        <f t="shared" si="127"/>
        <v>27.4977176665311</v>
      </c>
      <c r="AE139" s="31">
        <f t="shared" si="128"/>
        <v>-66.1616788691453</v>
      </c>
      <c r="AF139" s="32" t="str">
        <f t="shared" si="129"/>
        <v>432,040091031901</v>
      </c>
      <c r="AG139" s="32" t="str">
        <f t="shared" si="110"/>
        <v>1+1,69080731551591i</v>
      </c>
      <c r="AH139" s="32">
        <f t="shared" si="130"/>
        <v>1.96439033244468</v>
      </c>
      <c r="AI139" s="32">
        <f t="shared" si="131"/>
        <v>1.03669957405359</v>
      </c>
      <c r="AJ139" s="32" t="str">
        <f t="shared" si="111"/>
        <v>1+0,0159781291316254i</v>
      </c>
      <c r="AK139" s="32">
        <f t="shared" si="132"/>
        <v>1.00012764215901</v>
      </c>
      <c r="AL139" s="32">
        <f t="shared" si="133"/>
        <v>0.0159767695978323</v>
      </c>
      <c r="AM139" s="32" t="str">
        <f t="shared" si="112"/>
        <v>1-0,00471711514885846i</v>
      </c>
      <c r="AN139" s="32">
        <f t="shared" si="134"/>
        <v>1.00001112552578</v>
      </c>
      <c r="AO139" s="32">
        <f t="shared" si="135"/>
        <v>-0.00471708016220682</v>
      </c>
      <c r="AP139" s="30" t="str">
        <f t="shared" si="136"/>
        <v>114,101646602205-188,058689281193i</v>
      </c>
      <c r="AQ139" s="32">
        <f t="shared" si="137"/>
        <v>46.8471304652137</v>
      </c>
      <c r="AR139" s="31">
        <f t="shared" si="138"/>
        <v>-58.7533775329915</v>
      </c>
      <c r="AS139" t="str">
        <f t="shared" si="113"/>
        <v>-0,000201496259351621</v>
      </c>
      <c r="AT139" t="str">
        <f t="shared" si="114"/>
        <v>0,000228972296930882i</v>
      </c>
      <c r="AU139">
        <f t="shared" si="139"/>
        <v>0.000228972296930882</v>
      </c>
      <c r="AV139">
        <f t="shared" si="140"/>
        <v>1.5707963267949</v>
      </c>
      <c r="AW139" t="str">
        <f t="shared" si="115"/>
        <v>1+0,0117229616260603i</v>
      </c>
      <c r="AX139">
        <f t="shared" si="141"/>
        <v>1.000068711554</v>
      </c>
      <c r="AY139">
        <f t="shared" si="142"/>
        <v>0.0117224246499472</v>
      </c>
      <c r="AZ139" t="str">
        <f t="shared" si="116"/>
        <v>1+0,56045733561186i</v>
      </c>
      <c r="BA139">
        <f t="shared" si="143"/>
        <v>1.14634742772039</v>
      </c>
      <c r="BB139">
        <f t="shared" si="144"/>
        <v>0.510836408431444</v>
      </c>
      <c r="BC139" s="30" t="str">
        <f t="shared" si="145"/>
        <v>-0,482821425106112+0,885662883631081i</v>
      </c>
      <c r="BD139" s="32">
        <f t="shared" si="146"/>
        <v>0.0754093631324307</v>
      </c>
      <c r="BE139" s="31">
        <f t="shared" si="147"/>
        <v>118.597124766641</v>
      </c>
      <c r="BF139" s="30" t="str">
        <f t="shared" si="148"/>
        <v>14,5794257864142+18,9560177146149i</v>
      </c>
      <c r="BG139" s="68">
        <f t="shared" si="149"/>
        <v>27.5731270296635</v>
      </c>
      <c r="BH139" s="31">
        <f t="shared" si="150"/>
        <v>52.4354458974955</v>
      </c>
      <c r="BI139" s="30" t="str">
        <f t="shared" si="156"/>
        <v>111,465881421232+191,854357719097i</v>
      </c>
      <c r="BJ139" s="68">
        <f t="shared" si="151"/>
        <v>46.9225398283462</v>
      </c>
      <c r="BK139" s="31">
        <f t="shared" si="157"/>
        <v>59.8437472336494</v>
      </c>
      <c r="BL139" s="32">
        <f t="shared" si="152"/>
        <v>27.5731270296635</v>
      </c>
      <c r="BM139" s="31">
        <f t="shared" si="153"/>
        <v>52.4354458974955</v>
      </c>
      <c r="BO139">
        <f t="shared" si="154"/>
        <v>0</v>
      </c>
      <c r="BP139">
        <f t="shared" si="155"/>
        <v>0</v>
      </c>
    </row>
    <row r="140" spans="14:68">
      <c r="N140" s="7">
        <v>22</v>
      </c>
      <c r="O140" s="18">
        <f t="shared" si="158"/>
        <v>165.958690743756</v>
      </c>
      <c r="P140" s="86" t="str">
        <f t="shared" si="105"/>
        <v>54,5454545454545</v>
      </c>
      <c r="Q140" s="4" t="str">
        <f t="shared" si="106"/>
        <v>1+2,12341656755186i</v>
      </c>
      <c r="R140" s="4">
        <f t="shared" si="118"/>
        <v>2.34710415605139</v>
      </c>
      <c r="S140" s="4">
        <f t="shared" si="119"/>
        <v>1.13066648750987</v>
      </c>
      <c r="T140" s="4" t="str">
        <f t="shared" si="107"/>
        <v>1+0,0163503075701493i</v>
      </c>
      <c r="U140" s="4">
        <f t="shared" si="120"/>
        <v>1.00013365734668</v>
      </c>
      <c r="V140" s="4">
        <f t="shared" si="121"/>
        <v>0.0163488508139582</v>
      </c>
      <c r="W140" t="str">
        <f t="shared" si="108"/>
        <v>1-0,0469237143275969i</v>
      </c>
      <c r="X140" s="4">
        <f t="shared" si="122"/>
        <v>1.00110031213975</v>
      </c>
      <c r="Y140" s="4">
        <f t="shared" si="123"/>
        <v>-0.0468893203291359</v>
      </c>
      <c r="Z140" t="str">
        <f t="shared" si="109"/>
        <v>0,999999775165004+0,00323997075119121i</v>
      </c>
      <c r="AA140" s="4">
        <f t="shared" si="124"/>
        <v>1.00000502385764</v>
      </c>
      <c r="AB140" s="4">
        <f t="shared" si="125"/>
        <v>0.00323996014261298</v>
      </c>
      <c r="AC140" s="67" t="str">
        <f t="shared" si="126"/>
        <v>9,19689101535373-21,3733134770416i</v>
      </c>
      <c r="AD140" s="68">
        <f t="shared" si="127"/>
        <v>27.3351932099458</v>
      </c>
      <c r="AE140" s="31">
        <f t="shared" si="128"/>
        <v>-66.7178938207269</v>
      </c>
      <c r="AF140" s="32" t="str">
        <f t="shared" si="129"/>
        <v>432,040091031901</v>
      </c>
      <c r="AG140" s="32" t="str">
        <f t="shared" si="110"/>
        <v>1+1,73019127726447i</v>
      </c>
      <c r="AH140" s="32">
        <f t="shared" si="130"/>
        <v>1.99838981580723</v>
      </c>
      <c r="AI140" s="32">
        <f t="shared" si="131"/>
        <v>1.04673229402886</v>
      </c>
      <c r="AJ140" s="32" t="str">
        <f t="shared" si="111"/>
        <v>1+0,0163503075701493i</v>
      </c>
      <c r="AK140" s="32">
        <f t="shared" si="132"/>
        <v>1.00013365734668</v>
      </c>
      <c r="AL140" s="32">
        <f t="shared" si="133"/>
        <v>0.0163488508139582</v>
      </c>
      <c r="AM140" s="32" t="str">
        <f t="shared" si="112"/>
        <v>1-0,00482699087560826i</v>
      </c>
      <c r="AN140" s="32">
        <f t="shared" si="134"/>
        <v>1.0000116498526</v>
      </c>
      <c r="AO140" s="32">
        <f t="shared" si="135"/>
        <v>-0.00482695338675919</v>
      </c>
      <c r="AP140" s="30" t="str">
        <f t="shared" si="136"/>
        <v>110,349613255503-185,94740351048i</v>
      </c>
      <c r="AQ140" s="32">
        <f t="shared" si="137"/>
        <v>46.6981388666867</v>
      </c>
      <c r="AR140" s="31">
        <f t="shared" si="138"/>
        <v>-59.313186633339</v>
      </c>
      <c r="AS140" t="str">
        <f t="shared" si="113"/>
        <v>-0,000201496259351621</v>
      </c>
      <c r="AT140" t="str">
        <f t="shared" si="114"/>
        <v>0,0002343057468758i</v>
      </c>
      <c r="AU140">
        <f t="shared" si="139"/>
        <v>0.0002343057468758</v>
      </c>
      <c r="AV140">
        <f t="shared" si="140"/>
        <v>1.5707963267949</v>
      </c>
      <c r="AW140" t="str">
        <f t="shared" si="115"/>
        <v>1+0,0119960244807237i</v>
      </c>
      <c r="AX140">
        <f t="shared" si="141"/>
        <v>1.00007194971329</v>
      </c>
      <c r="AY140">
        <f t="shared" si="142"/>
        <v>0.0119954491026878</v>
      </c>
      <c r="AZ140" t="str">
        <f t="shared" si="116"/>
        <v>1+0,573512064003961i</v>
      </c>
      <c r="BA140">
        <f t="shared" si="143"/>
        <v>1.15278622803974</v>
      </c>
      <c r="BB140">
        <f t="shared" si="144"/>
        <v>0.520715337436974</v>
      </c>
      <c r="BC140" s="30" t="str">
        <f t="shared" si="145"/>
        <v>-0,482818298430776+0,865763377730567i</v>
      </c>
      <c r="BD140" s="32">
        <f t="shared" si="146"/>
        <v>-0.0759683879905391</v>
      </c>
      <c r="BE140" s="31">
        <f t="shared" si="147"/>
        <v>119.147502555921</v>
      </c>
      <c r="BF140" s="30" t="str">
        <f t="shared" si="148"/>
        <v>14,0638047982914+18,2817582748853i</v>
      </c>
      <c r="BG140" s="68">
        <f t="shared" si="149"/>
        <v>27.2592248219552</v>
      </c>
      <c r="BH140" s="31">
        <f t="shared" si="150"/>
        <v>52.4296087351941</v>
      </c>
      <c r="BI140" s="30" t="str">
        <f t="shared" si="156"/>
        <v>107,707639638946+185,315462863897i</v>
      </c>
      <c r="BJ140" s="68">
        <f t="shared" si="151"/>
        <v>46.6221704786962</v>
      </c>
      <c r="BK140" s="31">
        <f t="shared" si="157"/>
        <v>59.834315922582</v>
      </c>
      <c r="BL140" s="32">
        <f t="shared" si="152"/>
        <v>27.2592248219552</v>
      </c>
      <c r="BM140" s="31">
        <f t="shared" si="153"/>
        <v>52.4296087351941</v>
      </c>
      <c r="BO140">
        <f t="shared" si="154"/>
        <v>0</v>
      </c>
      <c r="BP140">
        <f t="shared" si="155"/>
        <v>0</v>
      </c>
    </row>
    <row r="141" spans="14:68">
      <c r="N141" s="7">
        <v>23</v>
      </c>
      <c r="O141" s="18">
        <f t="shared" si="158"/>
        <v>169.824365246174</v>
      </c>
      <c r="P141" s="86" t="str">
        <f t="shared" si="105"/>
        <v>54,5454545454545</v>
      </c>
      <c r="Q141" s="4" t="str">
        <f t="shared" si="106"/>
        <v>1+2,17287729326866i</v>
      </c>
      <c r="R141" s="4">
        <f t="shared" si="118"/>
        <v>2.39194392317264</v>
      </c>
      <c r="S141" s="4">
        <f t="shared" si="119"/>
        <v>1.13947662622188</v>
      </c>
      <c r="T141" s="4" t="str">
        <f t="shared" si="107"/>
        <v>1+0,0167311551581687i</v>
      </c>
      <c r="U141" s="4">
        <f t="shared" si="120"/>
        <v>1.00013995598262</v>
      </c>
      <c r="V141" s="4">
        <f t="shared" si="121"/>
        <v>0.016729594227584</v>
      </c>
      <c r="W141" t="str">
        <f t="shared" si="108"/>
        <v>1-0,0480167080432138i</v>
      </c>
      <c r="X141" s="4">
        <f t="shared" si="122"/>
        <v>1.00115213841419</v>
      </c>
      <c r="Y141" s="4">
        <f t="shared" si="123"/>
        <v>-0.0479798565001087</v>
      </c>
      <c r="Z141" t="str">
        <f t="shared" si="109"/>
        <v>0,999999764568857+0,00331543936488857i</v>
      </c>
      <c r="AA141" s="4">
        <f t="shared" si="124"/>
        <v>1.00000526062414</v>
      </c>
      <c r="AB141" s="4">
        <f t="shared" si="125"/>
        <v>0.00331542799759543</v>
      </c>
      <c r="AC141" s="67" t="str">
        <f t="shared" si="126"/>
        <v>8,82334157033247-21,0594904228222i</v>
      </c>
      <c r="AD141" s="68">
        <f t="shared" si="127"/>
        <v>27.1713228788236</v>
      </c>
      <c r="AE141" s="31">
        <f t="shared" si="128"/>
        <v>-67.2676697047538</v>
      </c>
      <c r="AF141" s="32" t="str">
        <f t="shared" si="129"/>
        <v>432,040091031901</v>
      </c>
      <c r="AG141" s="32" t="str">
        <f t="shared" si="110"/>
        <v>1+1,77049260933002i</v>
      </c>
      <c r="AH141" s="32">
        <f t="shared" si="130"/>
        <v>2.03338242337545</v>
      </c>
      <c r="AI141" s="32">
        <f t="shared" si="131"/>
        <v>1.056650365833</v>
      </c>
      <c r="AJ141" s="32" t="str">
        <f t="shared" si="111"/>
        <v>1+0,0167311551581687i</v>
      </c>
      <c r="AK141" s="32">
        <f t="shared" si="132"/>
        <v>1.00013995598262</v>
      </c>
      <c r="AL141" s="32">
        <f t="shared" si="133"/>
        <v>0.016729594227584</v>
      </c>
      <c r="AM141" s="32" t="str">
        <f t="shared" si="112"/>
        <v>1-0,00493942593681306i</v>
      </c>
      <c r="AN141" s="32">
        <f t="shared" si="134"/>
        <v>1.00001219888989</v>
      </c>
      <c r="AO141" s="32">
        <f t="shared" si="135"/>
        <v>-0.00493938576681401</v>
      </c>
      <c r="AP141" s="30" t="str">
        <f t="shared" si="136"/>
        <v>106,682839321112-183,786678794152i</v>
      </c>
      <c r="AQ141" s="32">
        <f t="shared" si="137"/>
        <v>46.5474211893404</v>
      </c>
      <c r="AR141" s="31">
        <f t="shared" si="138"/>
        <v>-59.8660771988035</v>
      </c>
      <c r="AS141" t="str">
        <f t="shared" si="113"/>
        <v>-0,000201496259351621</v>
      </c>
      <c r="AT141" t="str">
        <f t="shared" si="114"/>
        <v>0,000239763428829114i</v>
      </c>
      <c r="AU141">
        <f t="shared" si="139"/>
        <v>0.000239763428829114</v>
      </c>
      <c r="AV141">
        <f t="shared" si="140"/>
        <v>1.5707963267949</v>
      </c>
      <c r="AW141" t="str">
        <f t="shared" si="115"/>
        <v>1+0,0122754477863529i</v>
      </c>
      <c r="AX141">
        <f t="shared" si="141"/>
        <v>1.00007534047108</v>
      </c>
      <c r="AY141">
        <f t="shared" si="142"/>
        <v>0.012274831260188</v>
      </c>
      <c r="AZ141" t="str">
        <f t="shared" si="116"/>
        <v>1+0,586870876083722i</v>
      </c>
      <c r="BA141">
        <f t="shared" si="143"/>
        <v>1.15949015743786</v>
      </c>
      <c r="BB141">
        <f t="shared" si="144"/>
        <v>0.530709794924267</v>
      </c>
      <c r="BC141" s="30" t="str">
        <f t="shared" si="145"/>
        <v>-0,482815024443173+0,846322907496891i</v>
      </c>
      <c r="BD141" s="32">
        <f t="shared" si="146"/>
        <v>-0.225632098927397</v>
      </c>
      <c r="BE141" s="31">
        <f t="shared" si="147"/>
        <v>119.70413536997</v>
      </c>
      <c r="BF141" s="30" t="str">
        <f t="shared" si="148"/>
        <v>13,5630872890953+17,6352344748976i</v>
      </c>
      <c r="BG141" s="68">
        <f t="shared" si="149"/>
        <v>26.9456907798962</v>
      </c>
      <c r="BH141" s="31">
        <f t="shared" si="150"/>
        <v>52.436465665216</v>
      </c>
      <c r="BI141" s="30" t="str">
        <f t="shared" si="156"/>
        <v>104,034798681774+179,023100568595i</v>
      </c>
      <c r="BJ141" s="68">
        <f t="shared" si="151"/>
        <v>46.321789090413</v>
      </c>
      <c r="BK141" s="31">
        <f t="shared" si="157"/>
        <v>59.8380581711664</v>
      </c>
      <c r="BL141" s="32">
        <f t="shared" si="152"/>
        <v>26.9456907798962</v>
      </c>
      <c r="BM141" s="31">
        <f t="shared" si="153"/>
        <v>52.436465665216</v>
      </c>
      <c r="BO141">
        <f t="shared" si="154"/>
        <v>0</v>
      </c>
      <c r="BP141">
        <f t="shared" si="155"/>
        <v>0</v>
      </c>
    </row>
    <row r="142" spans="14:68">
      <c r="N142" s="7">
        <v>24</v>
      </c>
      <c r="O142" s="18">
        <f t="shared" si="158"/>
        <v>173.780082874938</v>
      </c>
      <c r="P142" s="86" t="str">
        <f t="shared" si="105"/>
        <v>54,5454545454545</v>
      </c>
      <c r="Q142" s="4" t="str">
        <f t="shared" si="106"/>
        <v>1+2,2234901072878i</v>
      </c>
      <c r="R142" s="4">
        <f t="shared" si="118"/>
        <v>2.43801317822663</v>
      </c>
      <c r="S142" s="4">
        <f t="shared" si="119"/>
        <v>1.1481558101933</v>
      </c>
      <c r="T142" s="4" t="str">
        <f t="shared" si="107"/>
        <v>1+0,0171208738261161i</v>
      </c>
      <c r="U142" s="4">
        <f t="shared" si="120"/>
        <v>1.00014655142163</v>
      </c>
      <c r="V142" s="4">
        <f t="shared" si="121"/>
        <v>0.0171192012720967</v>
      </c>
      <c r="W142" t="str">
        <f t="shared" si="108"/>
        <v>1-0,0491351608530118i</v>
      </c>
      <c r="X142" s="4">
        <f t="shared" si="122"/>
        <v>1.00120640431035</v>
      </c>
      <c r="Y142" s="4">
        <f t="shared" si="123"/>
        <v>-0.0490956762824383</v>
      </c>
      <c r="Z142" t="str">
        <f t="shared" si="109"/>
        <v>0,999999753473329+0,00339266586842224i</v>
      </c>
      <c r="AA142" s="4">
        <f t="shared" si="124"/>
        <v>1.00000550854903</v>
      </c>
      <c r="AB142" s="4">
        <f t="shared" si="125"/>
        <v>0.00339265368815181</v>
      </c>
      <c r="AC142" s="67" t="str">
        <f t="shared" si="126"/>
        <v>8,46081406631192-20,7439586812434i</v>
      </c>
      <c r="AD142" s="68">
        <f t="shared" si="127"/>
        <v>27.0061476974718</v>
      </c>
      <c r="AE142" s="31">
        <f t="shared" si="128"/>
        <v>-67.8109839469784</v>
      </c>
      <c r="AF142" s="32" t="str">
        <f t="shared" si="129"/>
        <v>432,040091031901</v>
      </c>
      <c r="AG142" s="32" t="str">
        <f t="shared" si="110"/>
        <v>1+1,81173268001228i</v>
      </c>
      <c r="AH142" s="32">
        <f t="shared" si="130"/>
        <v>2.0693900801503</v>
      </c>
      <c r="AI142" s="32">
        <f t="shared" si="131"/>
        <v>1.06645124253635</v>
      </c>
      <c r="AJ142" s="32" t="str">
        <f t="shared" si="111"/>
        <v>1+0,0171208738261161i</v>
      </c>
      <c r="AK142" s="32">
        <f t="shared" si="132"/>
        <v>1.00014655142163</v>
      </c>
      <c r="AL142" s="32">
        <f t="shared" si="133"/>
        <v>0.0171192012720967</v>
      </c>
      <c r="AM142" s="32" t="str">
        <f t="shared" si="112"/>
        <v>1-0,00505447994703062i</v>
      </c>
      <c r="AN142" s="32">
        <f t="shared" si="134"/>
        <v>1.00001277380218</v>
      </c>
      <c r="AO142" s="32">
        <f t="shared" si="135"/>
        <v>-0.00505443690413084</v>
      </c>
      <c r="AP142" s="30" t="str">
        <f t="shared" si="136"/>
        <v>103,102206195083-181,580470435049i</v>
      </c>
      <c r="AQ142" s="32">
        <f t="shared" si="137"/>
        <v>46.3950175072318</v>
      </c>
      <c r="AR142" s="31">
        <f t="shared" si="138"/>
        <v>-60.4118951747109</v>
      </c>
      <c r="AS142" t="str">
        <f t="shared" si="113"/>
        <v>-0,000201496259351621</v>
      </c>
      <c r="AT142" t="str">
        <f t="shared" si="114"/>
        <v>0,000245348236526039i</v>
      </c>
      <c r="AU142">
        <f t="shared" si="139"/>
        <v>0.000245348236526039</v>
      </c>
      <c r="AV142">
        <f t="shared" si="140"/>
        <v>1.5707963267949</v>
      </c>
      <c r="AW142" t="str">
        <f t="shared" si="115"/>
        <v>1+0,0125613796968833i</v>
      </c>
      <c r="AX142">
        <f t="shared" si="141"/>
        <v>1.00007889101805</v>
      </c>
      <c r="AY142">
        <f t="shared" si="142"/>
        <v>0.01256071908001</v>
      </c>
      <c r="AZ142" t="str">
        <f t="shared" si="116"/>
        <v>1+0,600540854870142i</v>
      </c>
      <c r="BA142">
        <f t="shared" si="143"/>
        <v>1.16646873870163</v>
      </c>
      <c r="BB142">
        <f t="shared" si="144"/>
        <v>0.540817092783624</v>
      </c>
      <c r="BC142" s="30" t="str">
        <f t="shared" si="145"/>
        <v>-0,482811596204878+0,827331165082606i</v>
      </c>
      <c r="BD142" s="32">
        <f t="shared" si="146"/>
        <v>-0.373542179757277</v>
      </c>
      <c r="BE142" s="31">
        <f t="shared" si="147"/>
        <v>120.266860714103</v>
      </c>
      <c r="BF142" s="30" t="str">
        <f t="shared" si="148"/>
        <v>13,0771443596298+17,0153189615283i</v>
      </c>
      <c r="BG142" s="68">
        <f t="shared" si="149"/>
        <v>26.6326055177145</v>
      </c>
      <c r="BH142" s="31">
        <f t="shared" si="150"/>
        <v>52.4558767671243</v>
      </c>
      <c r="BI142" s="30" t="str">
        <f t="shared" si="156"/>
        <v>100,448241415984+172,968825144344i</v>
      </c>
      <c r="BJ142" s="68">
        <f t="shared" si="151"/>
        <v>46.0214753274746</v>
      </c>
      <c r="BK142" s="31">
        <f t="shared" si="157"/>
        <v>59.854965539392</v>
      </c>
      <c r="BL142" s="32">
        <f t="shared" si="152"/>
        <v>26.6326055177145</v>
      </c>
      <c r="BM142" s="31">
        <f t="shared" si="153"/>
        <v>52.4558767671243</v>
      </c>
      <c r="BO142">
        <f t="shared" si="154"/>
        <v>0</v>
      </c>
      <c r="BP142">
        <f t="shared" si="155"/>
        <v>0</v>
      </c>
    </row>
    <row r="143" spans="14:68">
      <c r="N143" s="7">
        <v>25</v>
      </c>
      <c r="O143" s="18">
        <f t="shared" si="158"/>
        <v>177.827941003892</v>
      </c>
      <c r="P143" s="86" t="str">
        <f t="shared" si="105"/>
        <v>54,5454545454545</v>
      </c>
      <c r="Q143" s="4" t="str">
        <f t="shared" si="106"/>
        <v>1+2,27528184519318i</v>
      </c>
      <c r="R143" s="4">
        <f t="shared" si="118"/>
        <v>2.48533850311495</v>
      </c>
      <c r="S143" s="4">
        <f t="shared" si="119"/>
        <v>1.15670340990765</v>
      </c>
      <c r="T143" s="4" t="str">
        <f t="shared" si="107"/>
        <v>1+0,0175196702079875i</v>
      </c>
      <c r="U143" s="4">
        <f t="shared" si="120"/>
        <v>1.00015345764747</v>
      </c>
      <c r="V143" s="4">
        <f t="shared" si="121"/>
        <v>0.0175178780489177</v>
      </c>
      <c r="W143" t="str">
        <f t="shared" si="108"/>
        <v>1-0,0502796657754743i</v>
      </c>
      <c r="X143" s="4">
        <f t="shared" si="122"/>
        <v>1.00126322452714</v>
      </c>
      <c r="Y143" s="4">
        <f t="shared" si="123"/>
        <v>-0.0502373601781813</v>
      </c>
      <c r="Z143" t="str">
        <f t="shared" si="109"/>
        <v>0,999999741854885+0,00347169120830656i</v>
      </c>
      <c r="AA143" s="4">
        <f t="shared" si="124"/>
        <v>1.00000576815821</v>
      </c>
      <c r="AB143" s="4">
        <f t="shared" si="125"/>
        <v>0.00347167815691572</v>
      </c>
      <c r="AC143" s="67" t="str">
        <f t="shared" si="126"/>
        <v>8,10919524676516-20,4271220947201i</v>
      </c>
      <c r="AD143" s="68">
        <f t="shared" si="127"/>
        <v>26.8397083612976</v>
      </c>
      <c r="AE143" s="31">
        <f t="shared" si="128"/>
        <v>-68.3478242761785</v>
      </c>
      <c r="AF143" s="32" t="str">
        <f t="shared" si="129"/>
        <v>432,040091031901</v>
      </c>
      <c r="AG143" s="32" t="str">
        <f t="shared" si="110"/>
        <v>1+1,85393335534259i</v>
      </c>
      <c r="AH143" s="32">
        <f t="shared" si="130"/>
        <v>2.10643511318337</v>
      </c>
      <c r="AI143" s="32">
        <f t="shared" si="131"/>
        <v>1.07613258842831</v>
      </c>
      <c r="AJ143" s="32" t="str">
        <f t="shared" si="111"/>
        <v>1+0,0175196702079875i</v>
      </c>
      <c r="AK143" s="32">
        <f t="shared" si="132"/>
        <v>1.00015345764747</v>
      </c>
      <c r="AL143" s="32">
        <f t="shared" si="133"/>
        <v>0.0175178780489177</v>
      </c>
      <c r="AM143" s="32" t="str">
        <f t="shared" si="112"/>
        <v>1-0,00517221390942i</v>
      </c>
      <c r="AN143" s="32">
        <f t="shared" si="134"/>
        <v>1.00001337580891</v>
      </c>
      <c r="AO143" s="32">
        <f t="shared" si="135"/>
        <v>-0.00517216778815525</v>
      </c>
      <c r="AP143" s="30" t="str">
        <f t="shared" si="136"/>
        <v>99,6083760767305-179,332694736914i</v>
      </c>
      <c r="AQ143" s="32">
        <f t="shared" si="137"/>
        <v>46.2409682597433</v>
      </c>
      <c r="AR143" s="31">
        <f t="shared" si="138"/>
        <v>-60.9504984203977</v>
      </c>
      <c r="AS143" t="str">
        <f t="shared" si="113"/>
        <v>-0,000201496259351621</v>
      </c>
      <c r="AT143" t="str">
        <f t="shared" si="114"/>
        <v>0,000251063131105535i</v>
      </c>
      <c r="AU143">
        <f t="shared" si="139"/>
        <v>0.000251063131105535</v>
      </c>
      <c r="AV143">
        <f t="shared" si="140"/>
        <v>1.5707963267949</v>
      </c>
      <c r="AW143" t="str">
        <f t="shared" si="115"/>
        <v>1+0,0128539718171983i</v>
      </c>
      <c r="AX143">
        <f t="shared" si="141"/>
        <v>1.00008260888362</v>
      </c>
      <c r="AY143">
        <f t="shared" si="142"/>
        <v>0.0128532639566231</v>
      </c>
      <c r="AZ143" t="str">
        <f t="shared" si="116"/>
        <v>1+0,614529248366907i</v>
      </c>
      <c r="BA143">
        <f t="shared" si="143"/>
        <v>1.17373173983598</v>
      </c>
      <c r="BB143">
        <f t="shared" si="144"/>
        <v>0.551034329225487</v>
      </c>
      <c r="BC143" s="30" t="str">
        <f t="shared" si="145"/>
        <v>-0,482808006450869+0,808778080543641i</v>
      </c>
      <c r="BD143" s="32">
        <f t="shared" si="146"/>
        <v>-0.519659577421341</v>
      </c>
      <c r="BE143" s="31">
        <f t="shared" si="147"/>
        <v>120.835503653761</v>
      </c>
      <c r="BF143" s="30" t="str">
        <f t="shared" si="148"/>
        <v>12,6058242077868+16,4209174625127i</v>
      </c>
      <c r="BG143" s="68">
        <f t="shared" si="149"/>
        <v>26.3200487838763</v>
      </c>
      <c r="BH143" s="31">
        <f t="shared" si="150"/>
        <v>52.4876793775821</v>
      </c>
      <c r="BI143" s="30" t="str">
        <f t="shared" si="156"/>
        <v>96,9486311486253+167,144332046799i</v>
      </c>
      <c r="BJ143" s="68">
        <f t="shared" si="151"/>
        <v>45.7213086823219</v>
      </c>
      <c r="BK143" s="31">
        <f t="shared" si="157"/>
        <v>59.8850052333629</v>
      </c>
      <c r="BL143" s="32">
        <f t="shared" si="152"/>
        <v>26.3200487838763</v>
      </c>
      <c r="BM143" s="31">
        <f t="shared" si="153"/>
        <v>52.4876793775821</v>
      </c>
      <c r="BO143">
        <f t="shared" si="154"/>
        <v>0</v>
      </c>
      <c r="BP143">
        <f t="shared" si="155"/>
        <v>0</v>
      </c>
    </row>
    <row r="144" spans="14:68">
      <c r="N144" s="7">
        <v>26</v>
      </c>
      <c r="O144" s="18">
        <f t="shared" si="158"/>
        <v>181.970085860998</v>
      </c>
      <c r="P144" s="86" t="str">
        <f t="shared" si="105"/>
        <v>54,5454545454545</v>
      </c>
      <c r="Q144" s="4" t="str">
        <f t="shared" si="106"/>
        <v>1+2,3282799676498i</v>
      </c>
      <c r="R144" s="4">
        <f t="shared" si="118"/>
        <v>2.53394704123021</v>
      </c>
      <c r="S144" s="4">
        <f t="shared" si="119"/>
        <v>1.16511896037026</v>
      </c>
      <c r="T144" s="4" t="str">
        <f t="shared" si="107"/>
        <v>1+0,0179277557509035i</v>
      </c>
      <c r="U144" s="4">
        <f t="shared" si="120"/>
        <v>1.00016068930261</v>
      </c>
      <c r="V144" s="4">
        <f t="shared" si="121"/>
        <v>0.017925835434525</v>
      </c>
      <c r="W144" t="str">
        <f t="shared" si="108"/>
        <v>1-0,0514508296422614i</v>
      </c>
      <c r="X144" s="4">
        <f t="shared" si="122"/>
        <v>1.00132271914247</v>
      </c>
      <c r="Y144" s="4">
        <f t="shared" si="123"/>
        <v>-0.0514055016115391</v>
      </c>
      <c r="Z144" t="str">
        <f t="shared" si="109"/>
        <v>0,99999972968888+0,00355255728482281i</v>
      </c>
      <c r="AA144" s="4">
        <f t="shared" si="124"/>
        <v>1.00000604000231</v>
      </c>
      <c r="AB144" s="4">
        <f t="shared" si="125"/>
        <v>0.00355254330001012</v>
      </c>
      <c r="AC144" s="67" t="str">
        <f t="shared" si="126"/>
        <v>7,76835613646566-20,1093689419231i</v>
      </c>
      <c r="AD144" s="68">
        <f t="shared" si="127"/>
        <v>26.6720451798951</v>
      </c>
      <c r="AE144" s="31">
        <f t="shared" si="128"/>
        <v>-68.878188368964</v>
      </c>
      <c r="AF144" s="32" t="str">
        <f t="shared" si="129"/>
        <v>432,040091031901</v>
      </c>
      <c r="AG144" s="32" t="str">
        <f t="shared" si="110"/>
        <v>1+1,89711701067762i</v>
      </c>
      <c r="AH144" s="32">
        <f t="shared" si="130"/>
        <v>2.1445402659317</v>
      </c>
      <c r="AI144" s="32">
        <f t="shared" si="131"/>
        <v>1.0856922765785</v>
      </c>
      <c r="AJ144" s="32" t="str">
        <f t="shared" si="111"/>
        <v>1+0,0179277557509035i</v>
      </c>
      <c r="AK144" s="32">
        <f t="shared" si="132"/>
        <v>1.00016068930261</v>
      </c>
      <c r="AL144" s="32">
        <f t="shared" si="133"/>
        <v>0.017925835434525</v>
      </c>
      <c r="AM144" s="32" t="str">
        <f t="shared" si="112"/>
        <v>1-0,00529269024808654i</v>
      </c>
      <c r="AN144" s="32">
        <f t="shared" si="134"/>
        <v>1.00001400618694</v>
      </c>
      <c r="AO144" s="32">
        <f t="shared" si="135"/>
        <v>-0.00529264082829837</v>
      </c>
      <c r="AP144" s="30" t="str">
        <f t="shared" si="136"/>
        <v>96,2017999370916-177,047216268431i</v>
      </c>
      <c r="AQ144" s="32">
        <f t="shared" si="137"/>
        <v>46.0853141515352</v>
      </c>
      <c r="AR144" s="31">
        <f t="shared" si="138"/>
        <v>-61.4817565651938</v>
      </c>
      <c r="AS144" t="str">
        <f t="shared" si="113"/>
        <v>-0,000201496259351621</v>
      </c>
      <c r="AT144" t="str">
        <f t="shared" si="114"/>
        <v>0,000256911142680358i</v>
      </c>
      <c r="AU144">
        <f t="shared" si="139"/>
        <v>0.000256911142680358</v>
      </c>
      <c r="AV144">
        <f t="shared" si="140"/>
        <v>1.5707963267949</v>
      </c>
      <c r="AW144" t="str">
        <f t="shared" si="115"/>
        <v>1+0,0131533792835134i</v>
      </c>
      <c r="AX144">
        <f t="shared" si="141"/>
        <v>1.00008650195199</v>
      </c>
      <c r="AY144">
        <f t="shared" si="142"/>
        <v>0.0131526208007849</v>
      </c>
      <c r="AZ144" t="str">
        <f t="shared" si="116"/>
        <v>1+0,628843473405416i</v>
      </c>
      <c r="BA144">
        <f t="shared" si="143"/>
        <v>1.18128917460738</v>
      </c>
      <c r="BB144">
        <f t="shared" si="144"/>
        <v>0.561358388341539</v>
      </c>
      <c r="BC144" s="30" t="str">
        <f t="shared" si="145"/>
        <v>-0,48280424757418+0,790653816498754i</v>
      </c>
      <c r="BD144" s="32">
        <f t="shared" si="146"/>
        <v>-0.663945884659883</v>
      </c>
      <c r="BE144" s="31">
        <f t="shared" si="147"/>
        <v>121.409876784815</v>
      </c>
      <c r="BF144" s="30" t="str">
        <f t="shared" si="148"/>
        <v>12,1489539619584+15,8509691684149i</v>
      </c>
      <c r="BG144" s="68">
        <f t="shared" si="149"/>
        <v>26.0080992952352</v>
      </c>
      <c r="BH144" s="31">
        <f t="shared" si="150"/>
        <v>52.5316884158512</v>
      </c>
      <c r="BI144" s="30" t="str">
        <f t="shared" si="156"/>
        <v>93,5364196092059+161,541468309894i</v>
      </c>
      <c r="BJ144" s="68">
        <f t="shared" si="151"/>
        <v>45.4213682668753</v>
      </c>
      <c r="BK144" s="31">
        <f t="shared" si="157"/>
        <v>59.9281202196213</v>
      </c>
      <c r="BL144" s="32">
        <f t="shared" si="152"/>
        <v>26.0080992952352</v>
      </c>
      <c r="BM144" s="31">
        <f t="shared" si="153"/>
        <v>52.5316884158512</v>
      </c>
      <c r="BO144">
        <f t="shared" si="154"/>
        <v>0</v>
      </c>
      <c r="BP144">
        <f t="shared" si="155"/>
        <v>0</v>
      </c>
    </row>
    <row r="145" spans="14:68">
      <c r="N145" s="7">
        <v>27</v>
      </c>
      <c r="O145" s="18">
        <f t="shared" si="158"/>
        <v>186.208713666287</v>
      </c>
      <c r="P145" s="86" t="str">
        <f t="shared" si="105"/>
        <v>54,5454545454545</v>
      </c>
      <c r="Q145" s="4" t="str">
        <f t="shared" si="106"/>
        <v>1+2,38251257496372i</v>
      </c>
      <c r="R145" s="4">
        <f t="shared" si="118"/>
        <v>2.58386651548803</v>
      </c>
      <c r="S145" s="4">
        <f t="shared" si="119"/>
        <v>1.17340215455289</v>
      </c>
      <c r="T145" s="4" t="str">
        <f t="shared" si="107"/>
        <v>1+0,0183453468272207i</v>
      </c>
      <c r="U145" s="4">
        <f t="shared" si="120"/>
        <v>1.0001682617191</v>
      </c>
      <c r="V145" s="4">
        <f t="shared" si="121"/>
        <v>0.0183432891898446</v>
      </c>
      <c r="W145" t="str">
        <f t="shared" si="108"/>
        <v>1-0,0526492734199574i</v>
      </c>
      <c r="X145" s="4">
        <f t="shared" si="122"/>
        <v>1.00138501386412</v>
      </c>
      <c r="Y145" s="4">
        <f t="shared" si="123"/>
        <v>-0.0526007071873826</v>
      </c>
      <c r="Z145" t="str">
        <f t="shared" si="109"/>
        <v>0,99999971694951+0,00363530697423515i</v>
      </c>
      <c r="AA145" s="4">
        <f t="shared" si="124"/>
        <v>1.00000632465795</v>
      </c>
      <c r="AB145" s="4">
        <f t="shared" si="125"/>
        <v>0.00363529198924349</v>
      </c>
      <c r="AC145" s="67" t="str">
        <f t="shared" si="126"/>
        <v>7,43815339246045-19,7910715453066i</v>
      </c>
      <c r="AD145" s="68">
        <f t="shared" si="127"/>
        <v>26.5031980251455</v>
      </c>
      <c r="AE145" s="31">
        <f t="shared" si="128"/>
        <v>-69.4020834839941</v>
      </c>
      <c r="AF145" s="32" t="str">
        <f t="shared" si="129"/>
        <v>432,040091031901</v>
      </c>
      <c r="AG145" s="32" t="str">
        <f t="shared" si="110"/>
        <v>1+1,94130654256303i</v>
      </c>
      <c r="AH145" s="32">
        <f t="shared" si="130"/>
        <v>2.18372871304977</v>
      </c>
      <c r="AI145" s="32">
        <f t="shared" si="131"/>
        <v>1.09512838574124</v>
      </c>
      <c r="AJ145" s="32" t="str">
        <f t="shared" si="111"/>
        <v>1+0,0183453468272207i</v>
      </c>
      <c r="AK145" s="32">
        <f t="shared" si="132"/>
        <v>1.0001682617191</v>
      </c>
      <c r="AL145" s="32">
        <f t="shared" si="133"/>
        <v>0.0183432891898446</v>
      </c>
      <c r="AM145" s="32" t="str">
        <f t="shared" si="112"/>
        <v>1-0,00541597284117969i</v>
      </c>
      <c r="AN145" s="32">
        <f t="shared" si="134"/>
        <v>1.00001466627336</v>
      </c>
      <c r="AO145" s="32">
        <f t="shared" si="135"/>
        <v>-0.00541591988696454</v>
      </c>
      <c r="AP145" s="30" t="str">
        <f t="shared" si="136"/>
        <v>92,8827261882034-174,727836126335i</v>
      </c>
      <c r="AQ145" s="32">
        <f t="shared" si="137"/>
        <v>45.9280960563936</v>
      </c>
      <c r="AR145" s="31">
        <f t="shared" si="138"/>
        <v>-62.0055508266856</v>
      </c>
      <c r="AS145" t="str">
        <f t="shared" si="113"/>
        <v>-0,000201496259351621</v>
      </c>
      <c r="AT145" t="str">
        <f t="shared" si="114"/>
        <v>0,000262895371943653i</v>
      </c>
      <c r="AU145">
        <f t="shared" si="139"/>
        <v>0.000262895371943653</v>
      </c>
      <c r="AV145">
        <f t="shared" si="140"/>
        <v>1.5707963267949</v>
      </c>
      <c r="AW145" t="str">
        <f t="shared" si="115"/>
        <v>1+0,0134597608456302i</v>
      </c>
      <c r="AX145">
        <f t="shared" si="141"/>
        <v>1.00009057847878</v>
      </c>
      <c r="AY145">
        <f t="shared" si="142"/>
        <v>0.0134589481207194</v>
      </c>
      <c r="AZ145" t="str">
        <f t="shared" si="116"/>
        <v>1+0,643491119577256i</v>
      </c>
      <c r="BA145">
        <f t="shared" si="143"/>
        <v>1.18915130281003</v>
      </c>
      <c r="BB145">
        <f t="shared" si="144"/>
        <v>0.571785940502563</v>
      </c>
      <c r="BC145" s="30" t="str">
        <f t="shared" si="145"/>
        <v>-0,482800311609822+0,772948762912265i</v>
      </c>
      <c r="BD145" s="32">
        <f t="shared" si="146"/>
        <v>-0.806363451285728</v>
      </c>
      <c r="BE145" s="31">
        <f t="shared" si="147"/>
        <v>121.989780251712</v>
      </c>
      <c r="BF145" s="30" t="str">
        <f t="shared" si="148"/>
        <v>11,7063414919713+15,3044469722203i</v>
      </c>
      <c r="BG145" s="68">
        <f t="shared" si="149"/>
        <v>25.6968345738598</v>
      </c>
      <c r="BH145" s="31">
        <f t="shared" si="150"/>
        <v>52.5876967677184</v>
      </c>
      <c r="BI145" s="30" t="str">
        <f t="shared" si="156"/>
        <v>90,2118556333532+156,152242031795i</v>
      </c>
      <c r="BJ145" s="68">
        <f t="shared" si="151"/>
        <v>45.1217326051079</v>
      </c>
      <c r="BK145" s="31">
        <f t="shared" si="157"/>
        <v>59.9842294250269</v>
      </c>
      <c r="BL145" s="32">
        <f t="shared" si="152"/>
        <v>25.6968345738598</v>
      </c>
      <c r="BM145" s="31">
        <f t="shared" si="153"/>
        <v>52.5876967677184</v>
      </c>
      <c r="BO145">
        <f t="shared" si="154"/>
        <v>0</v>
      </c>
      <c r="BP145">
        <f t="shared" si="155"/>
        <v>0</v>
      </c>
    </row>
    <row r="146" spans="14:68">
      <c r="N146" s="7">
        <v>28</v>
      </c>
      <c r="O146" s="18">
        <f t="shared" si="158"/>
        <v>190.546071796325</v>
      </c>
      <c r="P146" s="86" t="str">
        <f t="shared" si="105"/>
        <v>54,5454545454545</v>
      </c>
      <c r="Q146" s="4" t="str">
        <f t="shared" si="106"/>
        <v>1+2,43800842198115i</v>
      </c>
      <c r="R146" s="4">
        <f t="shared" si="118"/>
        <v>2.63512524667254</v>
      </c>
      <c r="S146" s="4">
        <f t="shared" si="119"/>
        <v>1.18155283669714</v>
      </c>
      <c r="T146" s="4" t="str">
        <f t="shared" si="107"/>
        <v>1+0,0187726648492549i</v>
      </c>
      <c r="U146" s="4">
        <f t="shared" si="120"/>
        <v>1.00017619095115</v>
      </c>
      <c r="V146" s="4">
        <f t="shared" si="121"/>
        <v>0.0187704600720596</v>
      </c>
      <c r="W146" t="str">
        <f t="shared" si="108"/>
        <v>1-0,0538756325393158i</v>
      </c>
      <c r="X146" s="4">
        <f t="shared" si="122"/>
        <v>1.0014502402923</v>
      </c>
      <c r="Y146" s="4">
        <f t="shared" si="123"/>
        <v>-0.0538235969528125</v>
      </c>
      <c r="Z146" t="str">
        <f t="shared" si="109"/>
        <v>0,999999703609751+0,00371998415152418i</v>
      </c>
      <c r="AA146" s="4">
        <f t="shared" si="124"/>
        <v>1.00000662272891</v>
      </c>
      <c r="AB146" s="4">
        <f t="shared" si="125"/>
        <v>0.00371996809482207</v>
      </c>
      <c r="AC146" s="67" t="str">
        <f t="shared" si="126"/>
        <v>7,11843063038499-19,47258598363i</v>
      </c>
      <c r="AD146" s="68">
        <f t="shared" si="127"/>
        <v>26.3332062842611</v>
      </c>
      <c r="AE146" s="31">
        <f t="shared" si="128"/>
        <v>-69.9195260881746</v>
      </c>
      <c r="AF146" s="32" t="str">
        <f t="shared" si="129"/>
        <v>432,040091031901</v>
      </c>
      <c r="AG146" s="32" t="str">
        <f t="shared" si="110"/>
        <v>1+1,98652538087353i</v>
      </c>
      <c r="AH146" s="32">
        <f t="shared" si="130"/>
        <v>2.22402407560141</v>
      </c>
      <c r="AI146" s="32">
        <f t="shared" si="131"/>
        <v>1.1044391966576</v>
      </c>
      <c r="AJ146" s="32" t="str">
        <f t="shared" si="111"/>
        <v>1+0,0187726648492549i</v>
      </c>
      <c r="AK146" s="32">
        <f t="shared" si="132"/>
        <v>1.00017619095115</v>
      </c>
      <c r="AL146" s="32">
        <f t="shared" si="133"/>
        <v>0.0187704600720596</v>
      </c>
      <c r="AM146" s="32" t="str">
        <f t="shared" si="112"/>
        <v>1-0,00554212705476206i</v>
      </c>
      <c r="AN146" s="32">
        <f t="shared" si="134"/>
        <v>1.00001535746822</v>
      </c>
      <c r="AO146" s="32">
        <f t="shared" si="135"/>
        <v>-0.0055420703133453</v>
      </c>
      <c r="AP146" s="30" t="str">
        <f t="shared" si="136"/>
        <v>89,6512099408075-172,378281220302i</v>
      </c>
      <c r="AQ146" s="32">
        <f t="shared" si="137"/>
        <v>45.7693549252723</v>
      </c>
      <c r="AR146" s="31">
        <f t="shared" si="138"/>
        <v>-62.5217737943712</v>
      </c>
      <c r="AS146" t="str">
        <f t="shared" si="113"/>
        <v>-0,000201496259351621</v>
      </c>
      <c r="AT146" t="str">
        <f t="shared" si="114"/>
        <v>0,000269018991812982i</v>
      </c>
      <c r="AU146">
        <f t="shared" si="139"/>
        <v>0.000269018991812982</v>
      </c>
      <c r="AV146">
        <f t="shared" si="140"/>
        <v>1.5707963267949</v>
      </c>
      <c r="AW146" t="str">
        <f t="shared" si="115"/>
        <v>1+0,0137732789511083i</v>
      </c>
      <c r="AX146">
        <f t="shared" si="141"/>
        <v>1.00009484710855</v>
      </c>
      <c r="AY146">
        <f t="shared" si="142"/>
        <v>0.013772408105137</v>
      </c>
      <c r="AZ146" t="str">
        <f t="shared" si="116"/>
        <v>1+0,658479953258302i</v>
      </c>
      <c r="BA146">
        <f t="shared" si="143"/>
        <v>1.19732863026116</v>
      </c>
      <c r="BB146">
        <f t="shared" si="144"/>
        <v>0.582313443633931</v>
      </c>
      <c r="BC146" s="30" t="str">
        <f t="shared" si="145"/>
        <v>-0,482796190217959+0,755653531997216i</v>
      </c>
      <c r="BD146" s="32">
        <f t="shared" si="146"/>
        <v>-0.94687549725139</v>
      </c>
      <c r="BE146" s="31">
        <f t="shared" si="147"/>
        <v>122.575001815797</v>
      </c>
      <c r="BF146" s="30" t="str">
        <f t="shared" si="148"/>
        <v>11,2777771869688+14,7803575747158i</v>
      </c>
      <c r="BG146" s="68">
        <f t="shared" si="149"/>
        <v>25.3863307870098</v>
      </c>
      <c r="BH146" s="31">
        <f t="shared" si="150"/>
        <v>52.6554757276227</v>
      </c>
      <c r="BI146" s="30" t="str">
        <f t="shared" si="156"/>
        <v>86,9749944358783+150,968830889077i</v>
      </c>
      <c r="BJ146" s="68">
        <f t="shared" si="151"/>
        <v>44.8224794280209</v>
      </c>
      <c r="BK146" s="31">
        <f t="shared" si="157"/>
        <v>60.053228021426</v>
      </c>
      <c r="BL146" s="32">
        <f t="shared" si="152"/>
        <v>25.3863307870098</v>
      </c>
      <c r="BM146" s="31">
        <f t="shared" si="153"/>
        <v>52.6554757276227</v>
      </c>
      <c r="BO146">
        <f t="shared" si="154"/>
        <v>0</v>
      </c>
      <c r="BP146">
        <f t="shared" si="155"/>
        <v>0</v>
      </c>
    </row>
    <row r="147" spans="14:68">
      <c r="N147" s="7">
        <v>29</v>
      </c>
      <c r="O147" s="18">
        <f t="shared" si="158"/>
        <v>194.984459975805</v>
      </c>
      <c r="P147" s="86" t="str">
        <f t="shared" ref="P147:P210" si="159">COMPLEX(Adc,0)</f>
        <v>54,5454545454545</v>
      </c>
      <c r="Q147" s="4" t="str">
        <f t="shared" ref="Q147:Q210" si="160">IMSUM(COMPLEX(1,0),IMDIV(COMPLEX(0,2*PI()*O147),COMPLEX(wp_lf,0)))</f>
        <v>1+2,49479693333476i</v>
      </c>
      <c r="R147" s="4">
        <f t="shared" si="118"/>
        <v>2.68775217209037</v>
      </c>
      <c r="S147" s="4">
        <f t="shared" si="119"/>
        <v>1.1895709955191</v>
      </c>
      <c r="T147" s="4" t="str">
        <f t="shared" ref="T147:T210" si="161">IMSUM(COMPLEX(1,0),IMDIV(COMPLEX(0,2*PI()*O147),COMPLEX(wz_esr,0)))</f>
        <v>1+0,0192099363866777i</v>
      </c>
      <c r="U147" s="4">
        <f t="shared" si="120"/>
        <v>1.00018449380901</v>
      </c>
      <c r="V147" s="4">
        <f t="shared" si="121"/>
        <v>0.0192075739488845</v>
      </c>
      <c r="W147" t="str">
        <f t="shared" ref="W147:W210" si="162">IMSUB(COMPLEX(1,0),IMDIV(COMPLEX(0,2*PI()*O147),COMPLEX(wz_rhp,0)))</f>
        <v>1-0,0551305572321745i</v>
      </c>
      <c r="X147" s="4">
        <f t="shared" si="122"/>
        <v>1.00151853619428</v>
      </c>
      <c r="Y147" s="4">
        <f t="shared" si="123"/>
        <v>-0.055074804661618</v>
      </c>
      <c r="Z147" t="str">
        <f t="shared" ref="Z147:Z210" si="163">IMSUM(COMPLEX(1,0),IMDIV(COMPLEX(0,2*PI()*O147),COMPLEX(Q*(wsl/2),0)),IMDIV(IMPOWER(COMPLEX(0,2*PI()*O147),2),IMPOWER(COMPLEX(wsl/2,0),2)))</f>
        <v>0,999999689641309+0,00380663371365014i</v>
      </c>
      <c r="AA147" s="4">
        <f t="shared" si="124"/>
        <v>1.00000693484743</v>
      </c>
      <c r="AB147" s="4">
        <f t="shared" si="125"/>
        <v>0.00380661650859029</v>
      </c>
      <c r="AC147" s="67" t="str">
        <f t="shared" si="126"/>
        <v>6,80901971918042-19,1542519028908i</v>
      </c>
      <c r="AD147" s="68">
        <f t="shared" si="127"/>
        <v>26.1621088176742</v>
      </c>
      <c r="AE147" s="31">
        <f t="shared" si="128"/>
        <v>-70.430541477249</v>
      </c>
      <c r="AF147" s="32" t="str">
        <f t="shared" si="129"/>
        <v>432,040091031901</v>
      </c>
      <c r="AG147" s="32" t="str">
        <f t="shared" ref="AG147:AG210" si="164">IMSUM(COMPLEX(1,0),IMDIV(COMPLEX(0,2*PI()*O147),COMPLEX(wp_lf_DCM,0)))</f>
        <v>1+2,03279750123573i</v>
      </c>
      <c r="AH147" s="32">
        <f t="shared" si="130"/>
        <v>2.26545043667484</v>
      </c>
      <c r="AI147" s="32">
        <f t="shared" si="131"/>
        <v>1.11362318781026</v>
      </c>
      <c r="AJ147" s="32" t="str">
        <f t="shared" ref="AJ147:AJ210" si="165">IMSUM(COMPLEX(1,0),IMDIV(COMPLEX(0,2*PI()*O147),COMPLEX(wz1_dcm,0)))</f>
        <v>1+0,0192099363866777i</v>
      </c>
      <c r="AK147" s="32">
        <f t="shared" si="132"/>
        <v>1.00018449380901</v>
      </c>
      <c r="AL147" s="32">
        <f t="shared" si="133"/>
        <v>0.0192075739488845</v>
      </c>
      <c r="AM147" s="32" t="str">
        <f t="shared" ref="AM147:AM210" si="166">IMSUB(COMPLEX(1,0),IMDIV(COMPLEX(0,2*PI()*O147),COMPLEX(wz2_dcm,0)))</f>
        <v>1-0,00567121977746755i</v>
      </c>
      <c r="AN147" s="32">
        <f t="shared" si="134"/>
        <v>1.00001608123758</v>
      </c>
      <c r="AO147" s="32">
        <f t="shared" si="135"/>
        <v>-0.00567115897799689</v>
      </c>
      <c r="AP147" s="30" t="str">
        <f t="shared" si="136"/>
        <v>86,5071227408337-170,002194590361i</v>
      </c>
      <c r="AQ147" s="32">
        <f t="shared" si="137"/>
        <v>45.6091316987804</v>
      </c>
      <c r="AR147" s="31">
        <f t="shared" si="138"/>
        <v>-63.030329181863</v>
      </c>
      <c r="AS147" t="str">
        <f t="shared" ref="AS147:AS210" si="167">COMPLEX(Adc_ea,0)</f>
        <v>-0,000201496259351621</v>
      </c>
      <c r="AT147" t="str">
        <f t="shared" ref="AT147:AT210" si="168">COMPLEX(0,2*PI()*O147*wp0_ea)</f>
        <v>0,000275285249112658i</v>
      </c>
      <c r="AU147">
        <f t="shared" si="139"/>
        <v>0.000275285249112658</v>
      </c>
      <c r="AV147">
        <f t="shared" si="140"/>
        <v>1.5707963267949</v>
      </c>
      <c r="AW147" t="str">
        <f t="shared" ref="AW147:AW210" si="169">IMSUM(COMPLEX(1,0),IMDIV(COMPLEX(0,2*PI()*O147),COMPLEX(wp1_ea,0)))</f>
        <v>1+0,014094099831397i</v>
      </c>
      <c r="AX147">
        <f t="shared" si="141"/>
        <v>1.00009931689311</v>
      </c>
      <c r="AY147">
        <f t="shared" si="142"/>
        <v>0.0140931667081316</v>
      </c>
      <c r="AZ147" t="str">
        <f t="shared" ref="AZ147:AZ210" si="170">IMSUM(COMPLEX(1,0),IMDIV(COMPLEX(0,2*PI()*O147),COMPLEX(wz_ea,0)))</f>
        <v>1+0,673817921726575i</v>
      </c>
      <c r="BA147">
        <f t="shared" si="143"/>
        <v>1.20583190853449</v>
      </c>
      <c r="BB147">
        <f t="shared" si="144"/>
        <v>0.592937145404565</v>
      </c>
      <c r="BC147" s="30" t="str">
        <f t="shared" si="145"/>
        <v>-0,482791874666295+0,738758953236222i</v>
      </c>
      <c r="BD147" s="32">
        <f t="shared" si="146"/>
        <v>-1.08544622691968</v>
      </c>
      <c r="BE147" s="31">
        <f t="shared" si="147"/>
        <v>123.165316975866</v>
      </c>
      <c r="BF147" s="30" t="str">
        <f t="shared" si="148"/>
        <v>10,8630356909396+14,2777414643336i</v>
      </c>
      <c r="BG147" s="68">
        <f t="shared" si="149"/>
        <v>25.0766625907545</v>
      </c>
      <c r="BH147" s="31">
        <f t="shared" si="150"/>
        <v>52.7347754986172</v>
      </c>
      <c r="BI147" s="30" t="str">
        <f t="shared" si="156"/>
        <v>83,8257073634012+145,98358966716i</v>
      </c>
      <c r="BJ147" s="68">
        <f t="shared" si="151"/>
        <v>44.5236854718607</v>
      </c>
      <c r="BK147" s="31">
        <f t="shared" si="157"/>
        <v>60.1349877940031</v>
      </c>
      <c r="BL147" s="32">
        <f t="shared" si="152"/>
        <v>25.0766625907545</v>
      </c>
      <c r="BM147" s="31">
        <f t="shared" si="153"/>
        <v>52.7347754986172</v>
      </c>
      <c r="BO147">
        <f t="shared" si="154"/>
        <v>0</v>
      </c>
      <c r="BP147">
        <f t="shared" si="155"/>
        <v>0</v>
      </c>
    </row>
    <row r="148" spans="14:68">
      <c r="N148" s="7">
        <v>30</v>
      </c>
      <c r="O148" s="18">
        <f t="shared" si="158"/>
        <v>199.526231496888</v>
      </c>
      <c r="P148" s="86" t="str">
        <f t="shared" si="159"/>
        <v>54,5454545454545</v>
      </c>
      <c r="Q148" s="4" t="str">
        <f t="shared" si="160"/>
        <v>1+2,55290821904498i</v>
      </c>
      <c r="R148" s="4">
        <f t="shared" ref="R148:R211" si="171">IMABS(Q148)</f>
        <v>2.74177686452917</v>
      </c>
      <c r="S148" s="4">
        <f t="shared" ref="S148:S211" si="172">IMARGUMENT(Q148)</f>
        <v>1.1974567573546</v>
      </c>
      <c r="T148" s="4" t="str">
        <f t="shared" si="161"/>
        <v>1+0,0196573932866464i</v>
      </c>
      <c r="U148" s="4">
        <f t="shared" ref="U148:U211" si="173">IMABS(T148)</f>
        <v>1.00019318789463</v>
      </c>
      <c r="V148" s="4">
        <f t="shared" ref="V148:V211" si="174">IMARGUMENT(T148)</f>
        <v>0.01965486191535</v>
      </c>
      <c r="W148" t="str">
        <f t="shared" si="162"/>
        <v>1-0,0564147128762173i</v>
      </c>
      <c r="X148" s="4">
        <f t="shared" ref="X148:X211" si="175">IMABS(W148)</f>
        <v>1.00159004579164</v>
      </c>
      <c r="Y148" s="4">
        <f t="shared" ref="Y148:Y211" si="176">IMARGUMENT(W148)</f>
        <v>-0.056354978041476</v>
      </c>
      <c r="Z148" t="str">
        <f t="shared" si="163"/>
        <v>0,999999675014555+0,00389530160335786i</v>
      </c>
      <c r="AA148" s="4">
        <f t="shared" ref="AA148:AA211" si="177">IMABS(Z148)</f>
        <v>1.00000726167553</v>
      </c>
      <c r="AB148" s="4">
        <f t="shared" ref="AB148:AB211" si="178">IMARGUMENT(Z148)</f>
        <v>0.00389528316781131</v>
      </c>
      <c r="AC148" s="67" t="str">
        <f t="shared" ref="AC148:AC211" si="179">(IMDIV(IMPRODUCT(P148,T148,W148),IMPRODUCT(Q148,Z148)))</f>
        <v>6,50974203820133-18,8363924188262i</v>
      </c>
      <c r="AD148" s="68">
        <f t="shared" ref="AD148:AD211" si="180">20*LOG(IMABS(AC148))</f>
        <v>25.9899439216514</v>
      </c>
      <c r="AE148" s="31">
        <f t="shared" ref="AE148:AE211" si="181">(180/PI())*IMARGUMENT(AC148)</f>
        <v>-70.9351633930307</v>
      </c>
      <c r="AF148" s="32" t="str">
        <f t="shared" ref="AF148:AF211" si="182">COMPLEX($B$68,0)</f>
        <v>432,040091031901</v>
      </c>
      <c r="AG148" s="32" t="str">
        <f t="shared" si="164"/>
        <v>1+2,08014743774035i</v>
      </c>
      <c r="AH148" s="32">
        <f t="shared" ref="AH148:AH211" si="183">IMABS(AG148)</f>
        <v>2.30803235738534</v>
      </c>
      <c r="AI148" s="32">
        <f t="shared" ref="AI148:AI211" si="184">IMARGUMENT(AG148)</f>
        <v>1.12267903068651</v>
      </c>
      <c r="AJ148" s="32" t="str">
        <f t="shared" si="165"/>
        <v>1+0,0196573932866464i</v>
      </c>
      <c r="AK148" s="32">
        <f t="shared" ref="AK148:AK211" si="185">IMABS(AJ148)</f>
        <v>1.00019318789463</v>
      </c>
      <c r="AL148" s="32">
        <f t="shared" ref="AL148:AL211" si="186">IMARGUMENT(AJ148)</f>
        <v>0.01965486191535</v>
      </c>
      <c r="AM148" s="32" t="str">
        <f t="shared" si="166"/>
        <v>1-0,00580331945596658i</v>
      </c>
      <c r="AN148" s="32">
        <f t="shared" ref="AN148:AN211" si="187">IMABS(AM148)</f>
        <v>1.00001683911658</v>
      </c>
      <c r="AO148" s="32">
        <f t="shared" ref="AO148:AO211" si="188">IMARGUMENT(AM148)</f>
        <v>-0.00580325430821927</v>
      </c>
      <c r="AP148" s="30" t="str">
        <f t="shared" ref="AP148:AP211" si="189">(IMDIV(IMPRODUCT(AF148,AJ148,AM148),IMPRODUCT(AG148)))</f>
        <v>83,4501626789003-167,60312675656i</v>
      </c>
      <c r="AQ148" s="32">
        <f t="shared" ref="AQ148:AQ211" si="190">20*LOG(IMABS(AP148))</f>
        <v>45.4474672243123</v>
      </c>
      <c r="AR148" s="31">
        <f t="shared" ref="AR148:AR211" si="191">(180/PI())*IMARGUMENT(AP148)</f>
        <v>-63.5311315508155</v>
      </c>
      <c r="AS148" t="str">
        <f t="shared" si="167"/>
        <v>-0,000201496259351621</v>
      </c>
      <c r="AT148" t="str">
        <f t="shared" si="168"/>
        <v>0,000281697466295244i</v>
      </c>
      <c r="AU148">
        <f t="shared" ref="AU148:AU211" si="192">IMABS(AT148)</f>
        <v>0.000281697466295244</v>
      </c>
      <c r="AV148">
        <f t="shared" ref="AV148:AV211" si="193">IMARGUMENT(AT148)</f>
        <v>1.5707963267949</v>
      </c>
      <c r="AW148" t="str">
        <f t="shared" si="169"/>
        <v>1+0,0144223935899739i</v>
      </c>
      <c r="AX148">
        <f t="shared" ref="AX148:AX211" si="194">IMABS(AW148)</f>
        <v>1.00010399731071</v>
      </c>
      <c r="AY148">
        <f t="shared" ref="AY148:AY211" si="195">IMARGUMENT(AW148)</f>
        <v>0.0144213937359962</v>
      </c>
      <c r="AZ148" t="str">
        <f t="shared" si="170"/>
        <v>1+0,689513157375987i</v>
      </c>
      <c r="BA148">
        <f t="shared" ref="BA148:BA211" si="196">IMABS(AZ148)</f>
        <v>1.21467213444394</v>
      </c>
      <c r="BB148">
        <f t="shared" ref="BB148:BB211" si="197">IMARGUMENT(AZ148)</f>
        <v>0.603653086359425</v>
      </c>
      <c r="BC148" s="30" t="str">
        <f t="shared" ref="BC148:BC211" si="198">IMPRODUCT(AS148,IMDIV(AZ148,IMPRODUCT(AT148,AW148)))</f>
        <v>-0,48278735581164+0,722256068517462i</v>
      </c>
      <c r="BD148" s="32">
        <f t="shared" ref="BD148:BD211" si="199">20*LOG(IMABS(BC148))</f>
        <v>-1.22204094390233</v>
      </c>
      <c r="BE148" s="31">
        <f t="shared" ref="BE148:BE211" si="200">(180/PI())*IMARGUMENT(BC148)</f>
        <v>123.760489142672</v>
      </c>
      <c r="BF148" s="30" t="str">
        <f t="shared" ref="BF148:BF211" si="201">IMPRODUCT(AC148,BC148)</f>
        <v>10,4618775878344+13,7956727804897i</v>
      </c>
      <c r="BG148" s="68">
        <f t="shared" ref="BG148:BG211" si="202">20*LOG(IMABS(BF148))</f>
        <v>24.7679029777491</v>
      </c>
      <c r="BH148" s="31">
        <f t="shared" ref="BH148:BH211" si="203">(180/PI())*IMARGUMENT(BF148)</f>
        <v>52.8253257496417</v>
      </c>
      <c r="BI148" s="30" t="str">
        <f t="shared" si="156"/>
        <v>80,7636920206294+141,189056806168i</v>
      </c>
      <c r="BJ148" s="68">
        <f t="shared" ref="BJ148:BJ211" si="204">20*LOG(IMABS(BI148))</f>
        <v>44.22542628041</v>
      </c>
      <c r="BK148" s="31">
        <f t="shared" si="157"/>
        <v>60.2293575918568</v>
      </c>
      <c r="BL148" s="32">
        <f t="shared" ref="BL148:BL211" si="205">IF($B$31=0,BJ148,BG148)</f>
        <v>24.7679029777491</v>
      </c>
      <c r="BM148" s="31">
        <f t="shared" ref="BM148:BM211" si="206">IF($B$31=0,BK148,BH148)</f>
        <v>52.8253257496417</v>
      </c>
      <c r="BO148">
        <f t="shared" ref="BO148:BO211" si="207">SUM((BL149&lt;0)*(BL148&gt;0))*O148</f>
        <v>0</v>
      </c>
      <c r="BP148">
        <f t="shared" ref="BP148:BP211" si="208">IF(BO148&gt;0,BM148,0)</f>
        <v>0</v>
      </c>
    </row>
    <row r="149" spans="14:68">
      <c r="N149" s="7">
        <v>31</v>
      </c>
      <c r="O149" s="18">
        <f t="shared" si="158"/>
        <v>204.173794466953</v>
      </c>
      <c r="P149" s="86" t="str">
        <f t="shared" si="159"/>
        <v>54,5454545454545</v>
      </c>
      <c r="Q149" s="4" t="str">
        <f t="shared" si="160"/>
        <v>1+2,61237309048466i</v>
      </c>
      <c r="R149" s="4">
        <f t="shared" si="171"/>
        <v>2.7972295515185</v>
      </c>
      <c r="S149" s="4">
        <f t="shared" si="172"/>
        <v>1.20521037928172</v>
      </c>
      <c r="T149" s="4" t="str">
        <f t="shared" si="161"/>
        <v>1+0,0201152727967319i</v>
      </c>
      <c r="U149" s="4">
        <f t="shared" si="173"/>
        <v>1.00020229163889</v>
      </c>
      <c r="V149" s="4">
        <f t="shared" si="174"/>
        <v>0.0201125604131468</v>
      </c>
      <c r="W149" t="str">
        <f t="shared" si="162"/>
        <v>1-0,0577287803477638i</v>
      </c>
      <c r="X149" s="4">
        <f t="shared" si="175"/>
        <v>1.00166492006082</v>
      </c>
      <c r="Y149" s="4">
        <f t="shared" si="176"/>
        <v>-0.0576647790637176</v>
      </c>
      <c r="Z149" t="str">
        <f t="shared" si="163"/>
        <v>0,999999659698462+0,00398603483353607i</v>
      </c>
      <c r="AA149" s="4">
        <f t="shared" si="177"/>
        <v>1.00000760390646</v>
      </c>
      <c r="AB149" s="4">
        <f t="shared" si="178"/>
        <v>0.00398601507950015</v>
      </c>
      <c r="AC149" s="67" t="str">
        <f t="shared" si="179"/>
        <v>6,22040969159827-18,5193141039839i</v>
      </c>
      <c r="AD149" s="68">
        <f t="shared" si="180"/>
        <v>25.8167492954951</v>
      </c>
      <c r="AE149" s="31">
        <f t="shared" si="181"/>
        <v>-71.4334336393648</v>
      </c>
      <c r="AF149" s="32" t="str">
        <f t="shared" si="182"/>
        <v>432,040091031901</v>
      </c>
      <c r="AG149" s="32" t="str">
        <f t="shared" si="164"/>
        <v>1+2,12860029595046i</v>
      </c>
      <c r="AH149" s="32">
        <f t="shared" si="183"/>
        <v>2.35179489325077</v>
      </c>
      <c r="AI149" s="32">
        <f t="shared" si="184"/>
        <v>1.13160558460462</v>
      </c>
      <c r="AJ149" s="32" t="str">
        <f t="shared" si="165"/>
        <v>1+0,0201152727967319i</v>
      </c>
      <c r="AK149" s="32">
        <f t="shared" si="185"/>
        <v>1.00020229163889</v>
      </c>
      <c r="AL149" s="32">
        <f t="shared" si="186"/>
        <v>0.0201125604131468</v>
      </c>
      <c r="AM149" s="32" t="str">
        <f t="shared" si="166"/>
        <v>1-0,00593849613125714i</v>
      </c>
      <c r="AN149" s="32">
        <f t="shared" si="187"/>
        <v>1.00001763271269</v>
      </c>
      <c r="AO149" s="32">
        <f t="shared" si="188"/>
        <v>-0.00593842632425468</v>
      </c>
      <c r="AP149" s="30" t="str">
        <f t="shared" si="189"/>
        <v>80,4798647719422-165,184528090519i</v>
      </c>
      <c r="AQ149" s="32">
        <f t="shared" si="190"/>
        <v>45.2844021779732</v>
      </c>
      <c r="AR149" s="31">
        <f t="shared" si="191"/>
        <v>-64.0241060097332</v>
      </c>
      <c r="AS149" t="str">
        <f t="shared" si="167"/>
        <v>-0,000201496259351621</v>
      </c>
      <c r="AT149" t="str">
        <f t="shared" si="168"/>
        <v>0,000288259043203168i</v>
      </c>
      <c r="AU149">
        <f t="shared" si="192"/>
        <v>0.000288259043203168</v>
      </c>
      <c r="AV149">
        <f t="shared" si="193"/>
        <v>1.5707963267949</v>
      </c>
      <c r="AW149" t="str">
        <f t="shared" si="169"/>
        <v>1+0,0147583342925352i</v>
      </c>
      <c r="AX149">
        <f t="shared" si="194"/>
        <v>1.00010889828613</v>
      </c>
      <c r="AY149">
        <f t="shared" si="195"/>
        <v>0.0147572629359961</v>
      </c>
      <c r="AZ149" t="str">
        <f t="shared" si="170"/>
        <v>1+0,705573982028222i</v>
      </c>
      <c r="BA149">
        <f t="shared" si="196"/>
        <v>1.22386054929275</v>
      </c>
      <c r="BB149">
        <f t="shared" si="197"/>
        <v>0.614457104019172</v>
      </c>
      <c r="BC149" s="30" t="str">
        <f t="shared" si="198"/>
        <v>-0,482782624080587+0,706136127383134i</v>
      </c>
      <c r="BD149" s="32">
        <f t="shared" si="199"/>
        <v>-1.35662616579321</v>
      </c>
      <c r="BE149" s="31">
        <f t="shared" si="200"/>
        <v>124.360269868732</v>
      </c>
      <c r="BF149" s="30" t="str">
        <f t="shared" si="201"/>
        <v>10,0740510294129+13,3332590696557i</v>
      </c>
      <c r="BG149" s="68">
        <f t="shared" si="202"/>
        <v>24.4601231297019</v>
      </c>
      <c r="BH149" s="31">
        <f t="shared" si="203"/>
        <v>52.9268362293675</v>
      </c>
      <c r="BI149" s="30" t="str">
        <f t="shared" si="156"/>
        <v>77,7884826692006+136,577959971432i</v>
      </c>
      <c r="BJ149" s="68">
        <f t="shared" si="204"/>
        <v>43.9277760121801</v>
      </c>
      <c r="BK149" s="31">
        <f t="shared" si="157"/>
        <v>60.3361638589991</v>
      </c>
      <c r="BL149" s="32">
        <f t="shared" si="205"/>
        <v>24.4601231297019</v>
      </c>
      <c r="BM149" s="31">
        <f t="shared" si="206"/>
        <v>52.9268362293675</v>
      </c>
      <c r="BO149">
        <f t="shared" si="207"/>
        <v>0</v>
      </c>
      <c r="BP149">
        <f t="shared" si="208"/>
        <v>0</v>
      </c>
    </row>
    <row r="150" spans="14:68">
      <c r="N150" s="7">
        <v>32</v>
      </c>
      <c r="O150" s="18">
        <f t="shared" si="158"/>
        <v>208.929613085404</v>
      </c>
      <c r="P150" s="86" t="str">
        <f t="shared" si="159"/>
        <v>54,5454545454545</v>
      </c>
      <c r="Q150" s="4" t="str">
        <f t="shared" si="160"/>
        <v>1+2,67322307671578i</v>
      </c>
      <c r="R150" s="4">
        <f t="shared" si="171"/>
        <v>2.85414113489256</v>
      </c>
      <c r="S150" s="4">
        <f t="shared" si="172"/>
        <v>1.21283224225423</v>
      </c>
      <c r="T150" s="4" t="str">
        <f t="shared" si="161"/>
        <v>1+0,0205838176907116i</v>
      </c>
      <c r="U150" s="4">
        <f t="shared" si="173"/>
        <v>1.00021182434059</v>
      </c>
      <c r="V150" s="4">
        <f t="shared" si="174"/>
        <v>0.0205809113525789</v>
      </c>
      <c r="W150" t="str">
        <f t="shared" si="162"/>
        <v>1-0,0590734563827819i</v>
      </c>
      <c r="X150" s="4">
        <f t="shared" si="175"/>
        <v>1.00174331704734</v>
      </c>
      <c r="Y150" s="4">
        <f t="shared" si="176"/>
        <v>-0.0590048842154755</v>
      </c>
      <c r="Z150" t="str">
        <f t="shared" si="163"/>
        <v>0,999999643660545+0,00407888151214446i</v>
      </c>
      <c r="AA150" s="4">
        <f t="shared" si="177"/>
        <v>1.0000079622661</v>
      </c>
      <c r="AB150" s="4">
        <f t="shared" si="178"/>
        <v>0.00407886034532271</v>
      </c>
      <c r="AC150" s="67" t="str">
        <f t="shared" si="179"/>
        <v>5,94082667571842-18,2033070522978i</v>
      </c>
      <c r="AD150" s="68">
        <f t="shared" si="180"/>
        <v>25.6425620131712</v>
      </c>
      <c r="AE150" s="31">
        <f t="shared" si="181"/>
        <v>-71.9254016987348</v>
      </c>
      <c r="AF150" s="32" t="str">
        <f t="shared" si="182"/>
        <v>432,040091031901</v>
      </c>
      <c r="AG150" s="32" t="str">
        <f t="shared" si="164"/>
        <v>1+2,17818176621286i</v>
      </c>
      <c r="AH150" s="32">
        <f t="shared" si="183"/>
        <v>2.39676361092665</v>
      </c>
      <c r="AI150" s="32">
        <f t="shared" si="184"/>
        <v>1.14040189115792</v>
      </c>
      <c r="AJ150" s="32" t="str">
        <f t="shared" si="165"/>
        <v>1+0,0205838176907116i</v>
      </c>
      <c r="AK150" s="32">
        <f t="shared" si="185"/>
        <v>1.00021182434059</v>
      </c>
      <c r="AL150" s="32">
        <f t="shared" si="186"/>
        <v>0.0205809113525789</v>
      </c>
      <c r="AM150" s="32" t="str">
        <f t="shared" si="166"/>
        <v>1-0,00607682147580183i</v>
      </c>
      <c r="AN150" s="32">
        <f t="shared" si="187"/>
        <v>1.00001846370917</v>
      </c>
      <c r="AO150" s="32">
        <f t="shared" si="188"/>
        <v>-0.00607674667632564</v>
      </c>
      <c r="AP150" s="30" t="str">
        <f t="shared" si="189"/>
        <v>77,5956115217384-162,749742189498i</v>
      </c>
      <c r="AQ150" s="32">
        <f t="shared" si="190"/>
        <v>45.1199769914031</v>
      </c>
      <c r="AR150" s="31">
        <f t="shared" si="191"/>
        <v>-64.509187890774</v>
      </c>
      <c r="AS150" t="str">
        <f t="shared" si="167"/>
        <v>-0,000201496259351621</v>
      </c>
      <c r="AT150" t="str">
        <f t="shared" si="168"/>
        <v>0,000294973458871357i</v>
      </c>
      <c r="AU150">
        <f t="shared" si="192"/>
        <v>0.000294973458871357</v>
      </c>
      <c r="AV150">
        <f t="shared" si="193"/>
        <v>1.5707963267949</v>
      </c>
      <c r="AW150" t="str">
        <f t="shared" si="169"/>
        <v>1+0,0151021000592881i</v>
      </c>
      <c r="AX150">
        <f t="shared" si="194"/>
        <v>1.00011403021166</v>
      </c>
      <c r="AY150">
        <f t="shared" si="195"/>
        <v>0.0151009520871427</v>
      </c>
      <c r="AZ150" t="str">
        <f t="shared" si="170"/>
        <v>1+0,722008911345111i</v>
      </c>
      <c r="BA150">
        <f t="shared" si="196"/>
        <v>1.23340863790625</v>
      </c>
      <c r="BB150">
        <f t="shared" si="197"/>
        <v>0.625344837963586</v>
      </c>
      <c r="BC150" s="30" t="str">
        <f t="shared" si="198"/>
        <v>-0,482777669449335+0,690390582387917i</v>
      </c>
      <c r="BD150" s="32">
        <f t="shared" si="199"/>
        <v>-1.48916973808676</v>
      </c>
      <c r="BE150" s="31">
        <f t="shared" si="200"/>
        <v>124.964399134383</v>
      </c>
      <c r="BF150" s="30" t="str">
        <f t="shared" si="201"/>
        <v>9,69929330011617+12,8896409434939i</v>
      </c>
      <c r="BG150" s="68">
        <f t="shared" si="202"/>
        <v>24.1533922750845</v>
      </c>
      <c r="BH150" s="31">
        <f t="shared" si="203"/>
        <v>53.0389974356485</v>
      </c>
      <c r="BI150" s="30" t="str">
        <f t="shared" si="156"/>
        <v>74,89946080373+132,143220666965i</v>
      </c>
      <c r="BJ150" s="68">
        <f t="shared" si="204"/>
        <v>43.6308072533163</v>
      </c>
      <c r="BK150" s="31">
        <f t="shared" si="157"/>
        <v>60.4552112436092</v>
      </c>
      <c r="BL150" s="32">
        <f t="shared" si="205"/>
        <v>24.1533922750845</v>
      </c>
      <c r="BM150" s="31">
        <f t="shared" si="206"/>
        <v>53.0389974356485</v>
      </c>
      <c r="BO150">
        <f t="shared" si="207"/>
        <v>0</v>
      </c>
      <c r="BP150">
        <f t="shared" si="208"/>
        <v>0</v>
      </c>
    </row>
    <row r="151" spans="14:68">
      <c r="N151" s="7">
        <v>33</v>
      </c>
      <c r="O151" s="18">
        <f t="shared" si="158"/>
        <v>213.796208950223</v>
      </c>
      <c r="P151" s="86" t="str">
        <f t="shared" si="159"/>
        <v>54,5454545454545</v>
      </c>
      <c r="Q151" s="4" t="str">
        <f t="shared" si="160"/>
        <v>1+2,73549044120645i</v>
      </c>
      <c r="R151" s="4">
        <f t="shared" si="171"/>
        <v>2.91254321065488</v>
      </c>
      <c r="S151" s="4">
        <f t="shared" si="172"/>
        <v>1.22032284427665</v>
      </c>
      <c r="T151" s="4" t="str">
        <f t="shared" si="161"/>
        <v>1+0,0210632763972897i</v>
      </c>
      <c r="U151" s="4">
        <f t="shared" si="173"/>
        <v>1.0002218062073</v>
      </c>
      <c r="V151" s="4">
        <f t="shared" si="174"/>
        <v>0.0210601622371701</v>
      </c>
      <c r="W151" t="str">
        <f t="shared" si="162"/>
        <v>1-0,0604494539463034i</v>
      </c>
      <c r="X151" s="4">
        <f t="shared" si="175"/>
        <v>1.00182540219462</v>
      </c>
      <c r="Y151" s="4">
        <f t="shared" si="176"/>
        <v>-0.0603759847739868</v>
      </c>
      <c r="Z151" t="str">
        <f t="shared" si="163"/>
        <v>0,999999626866784+0,00417389086772094i</v>
      </c>
      <c r="AA151" s="4">
        <f t="shared" si="177"/>
        <v>1.00000833751458</v>
      </c>
      <c r="AB151" s="4">
        <f t="shared" si="178"/>
        <v>0.00417386818707301</v>
      </c>
      <c r="AC151" s="67" t="str">
        <f t="shared" si="179"/>
        <v>5,67078999608283-17,8886450141306i</v>
      </c>
      <c r="AD151" s="68">
        <f t="shared" si="180"/>
        <v>25.4674184991962</v>
      </c>
      <c r="AE151" s="31">
        <f t="shared" si="181"/>
        <v>-72.4111243512609</v>
      </c>
      <c r="AF151" s="32" t="str">
        <f t="shared" si="182"/>
        <v>432,040091031901</v>
      </c>
      <c r="AG151" s="32" t="str">
        <f t="shared" si="164"/>
        <v>1+2,22891813727933i</v>
      </c>
      <c r="AH151" s="32">
        <f t="shared" si="183"/>
        <v>2.44296460528857</v>
      </c>
      <c r="AI151" s="32">
        <f t="shared" si="184"/>
        <v>1.14906716832959</v>
      </c>
      <c r="AJ151" s="32" t="str">
        <f t="shared" si="165"/>
        <v>1+0,0210632763972897i</v>
      </c>
      <c r="AK151" s="32">
        <f t="shared" si="185"/>
        <v>1.0002218062073</v>
      </c>
      <c r="AL151" s="32">
        <f t="shared" si="186"/>
        <v>0.0210601622371701</v>
      </c>
      <c r="AM151" s="32" t="str">
        <f t="shared" si="166"/>
        <v>1-0,00621836883152919i</v>
      </c>
      <c r="AN151" s="32">
        <f t="shared" si="187"/>
        <v>1.00001933386856</v>
      </c>
      <c r="AO151" s="32">
        <f t="shared" si="188"/>
        <v>-0.00621828868253013</v>
      </c>
      <c r="AP151" s="30" t="str">
        <f t="shared" si="189"/>
        <v>74,7966435614621-160,302000225689i</v>
      </c>
      <c r="AQ151" s="32">
        <f t="shared" si="190"/>
        <v>44.9542317835632</v>
      </c>
      <c r="AR151" s="31">
        <f t="shared" si="191"/>
        <v>-64.9863224075863</v>
      </c>
      <c r="AS151" t="str">
        <f t="shared" si="167"/>
        <v>-0,000201496259351621</v>
      </c>
      <c r="AT151" t="str">
        <f t="shared" si="168"/>
        <v>0,000301844273371874i</v>
      </c>
      <c r="AU151">
        <f t="shared" si="192"/>
        <v>0.000301844273371874</v>
      </c>
      <c r="AV151">
        <f t="shared" si="193"/>
        <v>1.5707963267949</v>
      </c>
      <c r="AW151" t="str">
        <f t="shared" si="169"/>
        <v>1+0,0154538731593922i</v>
      </c>
      <c r="AX151">
        <f t="shared" si="194"/>
        <v>1.00011940396916</v>
      </c>
      <c r="AY151">
        <f t="shared" si="195"/>
        <v>0.0154526430930081</v>
      </c>
      <c r="AZ151" t="str">
        <f t="shared" si="170"/>
        <v>1+0,738826659343706i</v>
      </c>
      <c r="BA151">
        <f t="shared" si="196"/>
        <v>1.24332812746957</v>
      </c>
      <c r="BB151">
        <f t="shared" si="197"/>
        <v>0.636311735907456</v>
      </c>
      <c r="BC151" s="30" t="str">
        <f t="shared" si="198"/>
        <v>-0,482772481422497+0,675011084564877i</v>
      </c>
      <c r="BD151" s="32">
        <f t="shared" si="199"/>
        <v>-1.61964094654634</v>
      </c>
      <c r="BE151" s="31">
        <f t="shared" si="200"/>
        <v>125.572605690589</v>
      </c>
      <c r="BF151" s="30" t="str">
        <f t="shared" si="201"/>
        <v>9,3373323143496+12,4639916483535i</v>
      </c>
      <c r="BG151" s="68">
        <f t="shared" si="202"/>
        <v>23.8477775526498</v>
      </c>
      <c r="BH151" s="31">
        <f t="shared" si="203"/>
        <v>53.1614813393279</v>
      </c>
      <c r="BI151" s="30" t="str">
        <f t="shared" si="156"/>
        <v>72,0958658160204+127,877957918181i</v>
      </c>
      <c r="BJ151" s="68">
        <f t="shared" si="204"/>
        <v>43.3345908370169</v>
      </c>
      <c r="BK151" s="31">
        <f t="shared" si="157"/>
        <v>60.5862832830027</v>
      </c>
      <c r="BL151" s="32">
        <f t="shared" si="205"/>
        <v>23.8477775526498</v>
      </c>
      <c r="BM151" s="31">
        <f t="shared" si="206"/>
        <v>53.1614813393279</v>
      </c>
      <c r="BO151">
        <f t="shared" si="207"/>
        <v>0</v>
      </c>
      <c r="BP151">
        <f t="shared" si="208"/>
        <v>0</v>
      </c>
    </row>
    <row r="152" spans="14:68">
      <c r="N152" s="7">
        <v>34</v>
      </c>
      <c r="O152" s="18">
        <f t="shared" si="158"/>
        <v>218.776162394955</v>
      </c>
      <c r="P152" s="86" t="str">
        <f t="shared" si="159"/>
        <v>54,5454545454545</v>
      </c>
      <c r="Q152" s="4" t="str">
        <f t="shared" si="160"/>
        <v>1+2,79920819893755i</v>
      </c>
      <c r="R152" s="4">
        <f t="shared" si="171"/>
        <v>2.97246808914733</v>
      </c>
      <c r="S152" s="4">
        <f t="shared" si="172"/>
        <v>1.22768279364894</v>
      </c>
      <c r="T152" s="4" t="str">
        <f t="shared" si="161"/>
        <v>1+0,0215539031318192i</v>
      </c>
      <c r="U152" s="4">
        <f t="shared" si="173"/>
        <v>1.00023225839813</v>
      </c>
      <c r="V152" s="4">
        <f t="shared" si="174"/>
        <v>0.0215505662909782</v>
      </c>
      <c r="W152" t="str">
        <f t="shared" si="162"/>
        <v>1-0,0618575026104505i</v>
      </c>
      <c r="X152" s="4">
        <f t="shared" si="175"/>
        <v>1.0019113486877</v>
      </c>
      <c r="Y152" s="4">
        <f t="shared" si="176"/>
        <v>-0.0617787870828252</v>
      </c>
      <c r="Z152" t="str">
        <f t="shared" si="163"/>
        <v>0,999999609281557+0,00427111327548348i</v>
      </c>
      <c r="AA152" s="4">
        <f t="shared" si="177"/>
        <v>1.00000873044783</v>
      </c>
      <c r="AB152" s="4">
        <f t="shared" si="178"/>
        <v>0.00427108897274282</v>
      </c>
      <c r="AC152" s="67" t="str">
        <f t="shared" si="179"/>
        <v>5,4100907312591-17,5755855948397i</v>
      </c>
      <c r="AD152" s="68">
        <f t="shared" si="180"/>
        <v>25.2913545086004</v>
      </c>
      <c r="AE152" s="31">
        <f t="shared" si="181"/>
        <v>-72.8906652976708</v>
      </c>
      <c r="AF152" s="32" t="str">
        <f t="shared" si="182"/>
        <v>432,040091031901</v>
      </c>
      <c r="AG152" s="32" t="str">
        <f t="shared" si="164"/>
        <v>1+2,28083631024541i</v>
      </c>
      <c r="AH152" s="32">
        <f t="shared" si="183"/>
        <v>2.49042451685127</v>
      </c>
      <c r="AI152" s="32">
        <f t="shared" si="184"/>
        <v>1.1576008043298</v>
      </c>
      <c r="AJ152" s="32" t="str">
        <f t="shared" si="165"/>
        <v>1+0,0215539031318192i</v>
      </c>
      <c r="AK152" s="32">
        <f t="shared" si="185"/>
        <v>1.00023225839813</v>
      </c>
      <c r="AL152" s="32">
        <f t="shared" si="186"/>
        <v>0.0215505662909782</v>
      </c>
      <c r="AM152" s="32" t="str">
        <f t="shared" si="166"/>
        <v>1-0,00636321324872089i</v>
      </c>
      <c r="AN152" s="32">
        <f t="shared" si="187"/>
        <v>1.00002024503649</v>
      </c>
      <c r="AO152" s="32">
        <f t="shared" si="188"/>
        <v>-0.006363127367615</v>
      </c>
      <c r="AP152" s="30" t="str">
        <f t="shared" si="189"/>
        <v>72,0820703081331-157,844416236521i</v>
      </c>
      <c r="AQ152" s="32">
        <f t="shared" si="190"/>
        <v>44.7872062975055</v>
      </c>
      <c r="AR152" s="31">
        <f t="shared" si="191"/>
        <v>-65.4554642971254</v>
      </c>
      <c r="AS152" t="str">
        <f t="shared" si="167"/>
        <v>-0,000201496259351621</v>
      </c>
      <c r="AT152" t="str">
        <f t="shared" si="168"/>
        <v>0,000308875129701515i</v>
      </c>
      <c r="AU152">
        <f t="shared" si="192"/>
        <v>0.000308875129701515</v>
      </c>
      <c r="AV152">
        <f t="shared" si="193"/>
        <v>1.5707963267949</v>
      </c>
      <c r="AW152" t="str">
        <f t="shared" si="169"/>
        <v>1+0,0158138401076017i</v>
      </c>
      <c r="AX152">
        <f t="shared" si="194"/>
        <v>1.0001250309531</v>
      </c>
      <c r="AY152">
        <f t="shared" si="195"/>
        <v>0.0158125220766235</v>
      </c>
      <c r="AZ152" t="str">
        <f t="shared" si="170"/>
        <v>1+0,756036143016615i</v>
      </c>
      <c r="BA152">
        <f t="shared" si="196"/>
        <v>1.25363098619468</v>
      </c>
      <c r="BB152">
        <f t="shared" si="197"/>
        <v>0.6473530607696</v>
      </c>
      <c r="BC152" s="30" t="str">
        <f t="shared" si="198"/>
        <v>-0,482767049010996+0,659989478996513i</v>
      </c>
      <c r="BD152" s="32">
        <f t="shared" si="199"/>
        <v>-1.74801062726314</v>
      </c>
      <c r="BE152" s="31">
        <f t="shared" si="200"/>
        <v>126.184607458526</v>
      </c>
      <c r="BF152" s="30" t="str">
        <f t="shared" si="201"/>
        <v>8,98788804258518+12,0555165553085i</v>
      </c>
      <c r="BG152" s="68">
        <f t="shared" si="202"/>
        <v>23.5433438813373</v>
      </c>
      <c r="BH152" s="31">
        <f t="shared" si="203"/>
        <v>53.2939421608552</v>
      </c>
      <c r="BI152" s="30" t="str">
        <f t="shared" si="156"/>
        <v>69,3768056651897+123,775491057023i</v>
      </c>
      <c r="BJ152" s="68">
        <f t="shared" si="204"/>
        <v>43.0391956702423</v>
      </c>
      <c r="BK152" s="31">
        <f t="shared" si="157"/>
        <v>60.7291431614005</v>
      </c>
      <c r="BL152" s="32">
        <f t="shared" si="205"/>
        <v>23.5433438813373</v>
      </c>
      <c r="BM152" s="31">
        <f t="shared" si="206"/>
        <v>53.2939421608552</v>
      </c>
      <c r="BO152">
        <f t="shared" si="207"/>
        <v>0</v>
      </c>
      <c r="BP152">
        <f t="shared" si="208"/>
        <v>0</v>
      </c>
    </row>
    <row r="153" spans="14:68">
      <c r="N153" s="7">
        <v>35</v>
      </c>
      <c r="O153" s="18">
        <f t="shared" si="158"/>
        <v>223.872113856834</v>
      </c>
      <c r="P153" s="86" t="str">
        <f t="shared" si="159"/>
        <v>54,5454545454545</v>
      </c>
      <c r="Q153" s="4" t="str">
        <f t="shared" si="160"/>
        <v>1+2,86441013390761i</v>
      </c>
      <c r="R153" s="4">
        <f t="shared" si="171"/>
        <v>3.03394881552616</v>
      </c>
      <c r="S153" s="4">
        <f t="shared" si="172"/>
        <v>1.23491280230547</v>
      </c>
      <c r="T153" s="4" t="str">
        <f t="shared" si="161"/>
        <v>1+0,0220559580310887i</v>
      </c>
      <c r="U153" s="4">
        <f t="shared" si="173"/>
        <v>1.00024320306847</v>
      </c>
      <c r="V153" s="4">
        <f t="shared" si="174"/>
        <v>0.0220523825886605</v>
      </c>
      <c r="W153" t="str">
        <f t="shared" si="162"/>
        <v>1-0,0632983489412621i</v>
      </c>
      <c r="X153" s="4">
        <f t="shared" si="175"/>
        <v>1.00200133781282</v>
      </c>
      <c r="Y153" s="4">
        <f t="shared" si="176"/>
        <v>-0.063214012829788</v>
      </c>
      <c r="Z153" t="str">
        <f t="shared" si="163"/>
        <v>0,999999590867564+0,00437060028403952i</v>
      </c>
      <c r="AA153" s="4">
        <f t="shared" si="177"/>
        <v>1.00000914189928</v>
      </c>
      <c r="AB153" s="4">
        <f t="shared" si="178"/>
        <v>0.00437057424319658</v>
      </c>
      <c r="AC153" s="67" t="str">
        <f t="shared" si="179"/>
        <v>5,15851504165655-17,2643705100799i</v>
      </c>
      <c r="AD153" s="68">
        <f t="shared" si="180"/>
        <v>25.1144051107782</v>
      </c>
      <c r="AE153" s="31">
        <f t="shared" si="181"/>
        <v>-73.364094787655</v>
      </c>
      <c r="AF153" s="32" t="str">
        <f t="shared" si="182"/>
        <v>432,040091031901</v>
      </c>
      <c r="AG153" s="32" t="str">
        <f t="shared" si="164"/>
        <v>1+2,33396381281361i</v>
      </c>
      <c r="AH153" s="32">
        <f t="shared" si="183"/>
        <v>2.53917054951483</v>
      </c>
      <c r="AI153" s="32">
        <f t="shared" si="184"/>
        <v>1.16600235120437</v>
      </c>
      <c r="AJ153" s="32" t="str">
        <f t="shared" si="165"/>
        <v>1+0,0220559580310887i</v>
      </c>
      <c r="AK153" s="32">
        <f t="shared" si="185"/>
        <v>1.00024320306847</v>
      </c>
      <c r="AL153" s="32">
        <f t="shared" si="186"/>
        <v>0.0220523825886605</v>
      </c>
      <c r="AM153" s="32" t="str">
        <f t="shared" si="166"/>
        <v>1-0,0065114315258041i</v>
      </c>
      <c r="AN153" s="32">
        <f t="shared" si="187"/>
        <v>1.00002119914556</v>
      </c>
      <c r="AO153" s="32">
        <f t="shared" si="188"/>
        <v>-0.00651133950264654</v>
      </c>
      <c r="AP153" s="30" t="str">
        <f t="shared" si="189"/>
        <v>69,450880546026-155,379983316074i</v>
      </c>
      <c r="AQ153" s="32">
        <f t="shared" si="190"/>
        <v>44.6189398421137</v>
      </c>
      <c r="AR153" s="31">
        <f t="shared" si="191"/>
        <v>-65.9165774482813</v>
      </c>
      <c r="AS153" t="str">
        <f t="shared" si="167"/>
        <v>-0,000201496259351621</v>
      </c>
      <c r="AT153" t="str">
        <f t="shared" si="168"/>
        <v>0,00031606975571337i</v>
      </c>
      <c r="AU153">
        <f t="shared" si="192"/>
        <v>0.00031606975571337</v>
      </c>
      <c r="AV153">
        <f t="shared" si="193"/>
        <v>1.5707963267949</v>
      </c>
      <c r="AW153" t="str">
        <f t="shared" si="169"/>
        <v>1+0,016182191763157i</v>
      </c>
      <c r="AX153">
        <f t="shared" si="194"/>
        <v>1.0001309230947</v>
      </c>
      <c r="AY153">
        <f t="shared" si="195"/>
        <v>0.0161807794775039</v>
      </c>
      <c r="AZ153" t="str">
        <f t="shared" si="170"/>
        <v>1+0,773646487059869i</v>
      </c>
      <c r="BA153">
        <f t="shared" si="196"/>
        <v>1.26432942184388</v>
      </c>
      <c r="BB153">
        <f t="shared" si="197"/>
        <v>0.658463898726759</v>
      </c>
      <c r="BC153" s="30" t="str">
        <f t="shared" si="198"/>
        <v>-0,48276136070886+0,645317800488508i</v>
      </c>
      <c r="BD153" s="32">
        <f t="shared" si="199"/>
        <v>-1.8742512736361</v>
      </c>
      <c r="BE153" s="31">
        <f t="shared" si="200"/>
        <v>126.80011198548</v>
      </c>
      <c r="BF153" s="30" t="str">
        <f t="shared" si="201"/>
        <v>8,65067386363618+11,6634525796968i</v>
      </c>
      <c r="BG153" s="68">
        <f t="shared" si="202"/>
        <v>23.2401538371421</v>
      </c>
      <c r="BH153" s="31">
        <f t="shared" si="203"/>
        <v>53.4360171978251</v>
      </c>
      <c r="BI153" s="30" t="str">
        <f t="shared" si="156"/>
        <v>66,7412674786419+119,829341648539i</v>
      </c>
      <c r="BJ153" s="68">
        <f t="shared" si="204"/>
        <v>42.7446885684776</v>
      </c>
      <c r="BK153" s="31">
        <f t="shared" si="157"/>
        <v>60.8835345371987</v>
      </c>
      <c r="BL153" s="32">
        <f t="shared" si="205"/>
        <v>23.2401538371421</v>
      </c>
      <c r="BM153" s="31">
        <f t="shared" si="206"/>
        <v>53.4360171978251</v>
      </c>
      <c r="BO153">
        <f t="shared" si="207"/>
        <v>0</v>
      </c>
      <c r="BP153">
        <f t="shared" si="208"/>
        <v>0</v>
      </c>
    </row>
    <row r="154" spans="14:68">
      <c r="N154" s="7">
        <v>36</v>
      </c>
      <c r="O154" s="18">
        <f t="shared" si="158"/>
        <v>229.086765276777</v>
      </c>
      <c r="P154" s="86" t="str">
        <f t="shared" si="159"/>
        <v>54,5454545454545</v>
      </c>
      <c r="Q154" s="4" t="str">
        <f t="shared" si="160"/>
        <v>1+2,93113081704563i</v>
      </c>
      <c r="R154" s="4">
        <f t="shared" si="171"/>
        <v>3.09701919054994</v>
      </c>
      <c r="S154" s="4">
        <f t="shared" si="172"/>
        <v>1.24201367927089</v>
      </c>
      <c r="T154" s="4" t="str">
        <f t="shared" si="161"/>
        <v>1+0,0225697072912514i</v>
      </c>
      <c r="U154" s="4">
        <f t="shared" si="173"/>
        <v>1.00025466341688</v>
      </c>
      <c r="V154" s="4">
        <f t="shared" si="174"/>
        <v>0.0225658761883434</v>
      </c>
      <c r="W154" t="str">
        <f t="shared" si="162"/>
        <v>1-0,0647727568945354i</v>
      </c>
      <c r="X154" s="4">
        <f t="shared" si="175"/>
        <v>1.0020955593334</v>
      </c>
      <c r="Y154" s="4">
        <f t="shared" si="176"/>
        <v>-0.0646823993261593</v>
      </c>
      <c r="Z154" t="str">
        <f t="shared" si="163"/>
        <v>0,999999571585747+0,00447240464271791i</v>
      </c>
      <c r="AA154" s="4">
        <f t="shared" si="177"/>
        <v>1.00000957274166</v>
      </c>
      <c r="AB154" s="4">
        <f t="shared" si="178"/>
        <v>0.0044723767394664</v>
      </c>
      <c r="AC154" s="67" t="str">
        <f t="shared" si="179"/>
        <v>4,91584512191971-16,9552258912737i</v>
      </c>
      <c r="AD154" s="68">
        <f t="shared" si="180"/>
        <v>24.9366046770297</v>
      </c>
      <c r="AE154" s="31">
        <f t="shared" si="181"/>
        <v>-73.8314892548627</v>
      </c>
      <c r="AF154" s="32" t="str">
        <f t="shared" si="182"/>
        <v>432,040091031901</v>
      </c>
      <c r="AG154" s="32" t="str">
        <f t="shared" si="164"/>
        <v>1+2,38832881388904i</v>
      </c>
      <c r="AH154" s="32">
        <f t="shared" si="183"/>
        <v>2.58923048863029</v>
      </c>
      <c r="AI154" s="32">
        <f t="shared" si="184"/>
        <v>1.17427151826233</v>
      </c>
      <c r="AJ154" s="32" t="str">
        <f t="shared" si="165"/>
        <v>1+0,0225697072912514i</v>
      </c>
      <c r="AK154" s="32">
        <f t="shared" si="185"/>
        <v>1.00025466341688</v>
      </c>
      <c r="AL154" s="32">
        <f t="shared" si="186"/>
        <v>0.0225658761883434</v>
      </c>
      <c r="AM154" s="32" t="str">
        <f t="shared" si="166"/>
        <v>1-0,00666310225007131i</v>
      </c>
      <c r="AN154" s="32">
        <f t="shared" si="187"/>
        <v>1.00002219821942</v>
      </c>
      <c r="AO154" s="32">
        <f t="shared" si="188"/>
        <v>-0.00666300364559967</v>
      </c>
      <c r="AP154" s="30" t="str">
        <f t="shared" si="189"/>
        <v>66,9019528733478-152,911570662863i</v>
      </c>
      <c r="AQ154" s="32">
        <f t="shared" si="190"/>
        <v>44.4494712387655</v>
      </c>
      <c r="AR154" s="31">
        <f t="shared" si="191"/>
        <v>-66.3696345200173</v>
      </c>
      <c r="AS154" t="str">
        <f t="shared" si="167"/>
        <v>-0,000201496259351621</v>
      </c>
      <c r="AT154" t="str">
        <f t="shared" si="168"/>
        <v>0,00032343196609338i</v>
      </c>
      <c r="AU154">
        <f t="shared" si="192"/>
        <v>0.00032343196609338</v>
      </c>
      <c r="AV154">
        <f t="shared" si="193"/>
        <v>1.5707963267949</v>
      </c>
      <c r="AW154" t="str">
        <f t="shared" si="169"/>
        <v>1+0,0165591234309819i</v>
      </c>
      <c r="AX154">
        <f t="shared" si="194"/>
        <v>1.00013709288717</v>
      </c>
      <c r="AY154">
        <f t="shared" si="195"/>
        <v>0.0165576101508431</v>
      </c>
      <c r="AZ154" t="str">
        <f t="shared" si="170"/>
        <v>1+0,791667028710986i</v>
      </c>
      <c r="BA154">
        <f t="shared" si="196"/>
        <v>1.27543588013984</v>
      </c>
      <c r="BB154">
        <f t="shared" si="197"/>
        <v>0.669639168235326</v>
      </c>
      <c r="BC154" s="30" t="str">
        <f t="shared" si="198"/>
        <v>-0,482755404468978+0,630988269343906i</v>
      </c>
      <c r="BD154" s="32">
        <f t="shared" si="199"/>
        <v>-1.99833713949622</v>
      </c>
      <c r="BE154" s="31">
        <f t="shared" si="200"/>
        <v>127.418816956069</v>
      </c>
      <c r="BF154" s="30" t="str">
        <f t="shared" si="201"/>
        <v>8,32539784133057+11,2870675388475i</v>
      </c>
      <c r="BG154" s="68">
        <f t="shared" si="202"/>
        <v>22.9382675375335</v>
      </c>
      <c r="BH154" s="31">
        <f t="shared" si="203"/>
        <v>53.5873277012061</v>
      </c>
      <c r="BI154" s="30" t="str">
        <f t="shared" si="156"/>
        <v>64,1881280160808+116,033234602618i</v>
      </c>
      <c r="BJ154" s="68">
        <f t="shared" si="204"/>
        <v>42.4511340992693</v>
      </c>
      <c r="BK154" s="31">
        <f t="shared" si="157"/>
        <v>61.0491824360514</v>
      </c>
      <c r="BL154" s="32">
        <f t="shared" si="205"/>
        <v>22.9382675375335</v>
      </c>
      <c r="BM154" s="31">
        <f t="shared" si="206"/>
        <v>53.5873277012061</v>
      </c>
      <c r="BO154">
        <f t="shared" si="207"/>
        <v>0</v>
      </c>
      <c r="BP154">
        <f t="shared" si="208"/>
        <v>0</v>
      </c>
    </row>
    <row r="155" spans="14:68">
      <c r="N155" s="7">
        <v>37</v>
      </c>
      <c r="O155" s="18">
        <f t="shared" si="158"/>
        <v>234.422881531992</v>
      </c>
      <c r="P155" s="86" t="str">
        <f t="shared" si="159"/>
        <v>54,5454545454545</v>
      </c>
      <c r="Q155" s="4" t="str">
        <f t="shared" si="160"/>
        <v>1+2,99940562454096i</v>
      </c>
      <c r="R155" s="4">
        <f t="shared" si="171"/>
        <v>3.16171379168449</v>
      </c>
      <c r="S155" s="4">
        <f t="shared" si="172"/>
        <v>1.24898632425206</v>
      </c>
      <c r="T155" s="4" t="str">
        <f t="shared" si="161"/>
        <v>1+0,0230954233089655i</v>
      </c>
      <c r="U155" s="4">
        <f t="shared" si="173"/>
        <v>1.00026666373414</v>
      </c>
      <c r="V155" s="4">
        <f t="shared" si="174"/>
        <v>0.0230913182673437</v>
      </c>
      <c r="W155" t="str">
        <f t="shared" si="162"/>
        <v>1-0,066281508220883i</v>
      </c>
      <c r="X155" s="4">
        <f t="shared" si="175"/>
        <v>1.00219421188312</v>
      </c>
      <c r="Y155" s="4">
        <f t="shared" si="176"/>
        <v>-0.0661846997870204</v>
      </c>
      <c r="Z155" t="str">
        <f t="shared" si="163"/>
        <v>0,999999551395205+0,00457658032953716i</v>
      </c>
      <c r="AA155" s="4">
        <f t="shared" si="177"/>
        <v>1.00001002388882</v>
      </c>
      <c r="AB155" s="4">
        <f t="shared" si="178"/>
        <v>0.00457655043068066</v>
      </c>
      <c r="AC155" s="67" t="str">
        <f t="shared" si="179"/>
        <v>4,68186009618625-16,6483626349339i</v>
      </c>
      <c r="AD155" s="68">
        <f t="shared" si="180"/>
        <v>24.7579868715959</v>
      </c>
      <c r="AE155" s="31">
        <f t="shared" si="181"/>
        <v>-74.2929309596328</v>
      </c>
      <c r="AF155" s="32" t="str">
        <f t="shared" si="182"/>
        <v>432,040091031901</v>
      </c>
      <c r="AG155" s="32" t="str">
        <f t="shared" si="164"/>
        <v>1+2,44396013851486i</v>
      </c>
      <c r="AH155" s="32">
        <f t="shared" si="183"/>
        <v>2.64063271937799</v>
      </c>
      <c r="AI155" s="32">
        <f t="shared" si="184"/>
        <v>1.18240816536699</v>
      </c>
      <c r="AJ155" s="32" t="str">
        <f t="shared" si="165"/>
        <v>1+0,0230954233089655i</v>
      </c>
      <c r="AK155" s="32">
        <f t="shared" si="185"/>
        <v>1.00026666373414</v>
      </c>
      <c r="AL155" s="32">
        <f t="shared" si="186"/>
        <v>0.0230913182673437</v>
      </c>
      <c r="AM155" s="32" t="str">
        <f t="shared" si="166"/>
        <v>1-0,00681830583934811i</v>
      </c>
      <c r="AN155" s="32">
        <f t="shared" si="187"/>
        <v>1.00002324437711</v>
      </c>
      <c r="AO155" s="32">
        <f t="shared" si="188"/>
        <v>-0.0068182001828858</v>
      </c>
      <c r="AP155" s="30" t="str">
        <f t="shared" si="189"/>
        <v>64,434065951905-150,441921435583i</v>
      </c>
      <c r="AQ155" s="32">
        <f t="shared" si="190"/>
        <v>44.2788387728409</v>
      </c>
      <c r="AR155" s="31">
        <f t="shared" si="191"/>
        <v>-66.8146165515776</v>
      </c>
      <c r="AS155" t="str">
        <f t="shared" si="167"/>
        <v>-0,000201496259351621</v>
      </c>
      <c r="AT155" t="str">
        <f t="shared" si="168"/>
        <v>0,000330965664382943i</v>
      </c>
      <c r="AU155">
        <f t="shared" si="192"/>
        <v>0.000330965664382943</v>
      </c>
      <c r="AV155">
        <f t="shared" si="193"/>
        <v>1.5707963267949</v>
      </c>
      <c r="AW155" t="str">
        <f t="shared" si="169"/>
        <v>1+0,0169448349652359i</v>
      </c>
      <c r="AX155">
        <f t="shared" si="194"/>
        <v>1.00014355341221</v>
      </c>
      <c r="AY155">
        <f t="shared" si="195"/>
        <v>0.0169432134689226</v>
      </c>
      <c r="AZ155" t="str">
        <f t="shared" si="170"/>
        <v>1+0,81010732269968i</v>
      </c>
      <c r="BA155">
        <f t="shared" si="196"/>
        <v>1.28696304309473</v>
      </c>
      <c r="BB155">
        <f t="shared" si="197"/>
        <v>0.680873629994435</v>
      </c>
      <c r="BC155" s="30" t="str">
        <f t="shared" si="198"/>
        <v>-0,482749167677682+0,616993287235439i</v>
      </c>
      <c r="BD155" s="32">
        <f t="shared" si="199"/>
        <v>-2.12024433760388</v>
      </c>
      <c r="BE155" s="31">
        <f t="shared" si="200"/>
        <v>128.040410757275</v>
      </c>
      <c r="BF155" s="30" t="str">
        <f t="shared" si="201"/>
        <v>8,01176392459826+10,9256594563329i</v>
      </c>
      <c r="BG155" s="68">
        <f t="shared" si="202"/>
        <v>22.637742533992</v>
      </c>
      <c r="BH155" s="31">
        <f t="shared" si="203"/>
        <v>53.7474797976418</v>
      </c>
      <c r="BI155" s="30" t="str">
        <f t="shared" si="156"/>
        <v>61,716163936185+112,38109851847i</v>
      </c>
      <c r="BJ155" s="68">
        <f t="shared" si="204"/>
        <v>42.158594435237</v>
      </c>
      <c r="BK155" s="31">
        <f t="shared" si="157"/>
        <v>61.2257942056971</v>
      </c>
      <c r="BL155" s="32">
        <f t="shared" si="205"/>
        <v>22.637742533992</v>
      </c>
      <c r="BM155" s="31">
        <f t="shared" si="206"/>
        <v>53.7474797976418</v>
      </c>
      <c r="BO155">
        <f t="shared" si="207"/>
        <v>0</v>
      </c>
      <c r="BP155">
        <f t="shared" si="208"/>
        <v>0</v>
      </c>
    </row>
    <row r="156" spans="14:68">
      <c r="N156" s="7">
        <v>38</v>
      </c>
      <c r="O156" s="18">
        <f t="shared" si="158"/>
        <v>239.883291901949</v>
      </c>
      <c r="P156" s="86" t="str">
        <f t="shared" si="159"/>
        <v>54,5454545454545</v>
      </c>
      <c r="Q156" s="4" t="str">
        <f t="shared" si="160"/>
        <v>1+3,06927075660026i</v>
      </c>
      <c r="R156" s="4">
        <f t="shared" si="171"/>
        <v>3.22806799453195</v>
      </c>
      <c r="S156" s="4">
        <f t="shared" si="172"/>
        <v>1.25583172138328</v>
      </c>
      <c r="T156" s="4" t="str">
        <f t="shared" si="161"/>
        <v>1+0,023633384825822i</v>
      </c>
      <c r="U156" s="4">
        <f t="shared" si="173"/>
        <v>1.00027922945462</v>
      </c>
      <c r="V156" s="4">
        <f t="shared" si="174"/>
        <v>0.0236289862607894</v>
      </c>
      <c r="W156" t="str">
        <f t="shared" si="162"/>
        <v>1-0,0678254028802291i</v>
      </c>
      <c r="X156" s="4">
        <f t="shared" si="175"/>
        <v>1.00229750337705</v>
      </c>
      <c r="Y156" s="4">
        <f t="shared" si="176"/>
        <v>-0.0677216836122692</v>
      </c>
      <c r="Z156" t="str">
        <f t="shared" si="163"/>
        <v>0,999999530253112+0,00468318257982534i</v>
      </c>
      <c r="AA156" s="4">
        <f t="shared" si="177"/>
        <v>1.00001049629767</v>
      </c>
      <c r="AB156" s="4">
        <f t="shared" si="178"/>
        <v>0.00468315054264155</v>
      </c>
      <c r="AC156" s="67" t="str">
        <f t="shared" si="179"/>
        <v>4,45633685600533-16,3439767898189i</v>
      </c>
      <c r="AD156" s="68">
        <f t="shared" si="180"/>
        <v>24.5785846459857</v>
      </c>
      <c r="AE156" s="31">
        <f t="shared" si="181"/>
        <v>-74.7485076404163</v>
      </c>
      <c r="AF156" s="32" t="str">
        <f t="shared" si="182"/>
        <v>432,040091031901</v>
      </c>
      <c r="AG156" s="32" t="str">
        <f t="shared" si="164"/>
        <v>1+2,50088728315577i</v>
      </c>
      <c r="AH156" s="32">
        <f t="shared" si="183"/>
        <v>2.69340624545393</v>
      </c>
      <c r="AI156" s="32">
        <f t="shared" si="184"/>
        <v>1.19041229613239</v>
      </c>
      <c r="AJ156" s="32" t="str">
        <f t="shared" si="165"/>
        <v>1+0,023633384825822i</v>
      </c>
      <c r="AK156" s="32">
        <f t="shared" si="185"/>
        <v>1.00027922945462</v>
      </c>
      <c r="AL156" s="32">
        <f t="shared" si="186"/>
        <v>0.0236289862607894</v>
      </c>
      <c r="AM156" s="32" t="str">
        <f t="shared" si="166"/>
        <v>1-0,00697712458463189i</v>
      </c>
      <c r="AN156" s="32">
        <f t="shared" si="187"/>
        <v>1.00002433983752</v>
      </c>
      <c r="AO156" s="32">
        <f t="shared" si="188"/>
        <v>-0.00697701137184163</v>
      </c>
      <c r="AP156" s="30" t="str">
        <f t="shared" si="189"/>
        <v>62,045908506762-147,973651365553i</v>
      </c>
      <c r="AQ156" s="32">
        <f t="shared" si="190"/>
        <v>44.1070801499724</v>
      </c>
      <c r="AR156" s="31">
        <f t="shared" si="191"/>
        <v>-67.2515125671691</v>
      </c>
      <c r="AS156" t="str">
        <f t="shared" si="167"/>
        <v>-0,000201496259351621</v>
      </c>
      <c r="AT156" t="str">
        <f t="shared" si="168"/>
        <v>0,00033867484504861i</v>
      </c>
      <c r="AU156">
        <f t="shared" si="192"/>
        <v>0.00033867484504861</v>
      </c>
      <c r="AV156">
        <f t="shared" si="193"/>
        <v>1.5707963267949</v>
      </c>
      <c r="AW156" t="str">
        <f t="shared" si="169"/>
        <v>1+0,0173395308752798i</v>
      </c>
      <c r="AX156">
        <f t="shared" si="194"/>
        <v>1.00015031836768</v>
      </c>
      <c r="AY156">
        <f t="shared" si="195"/>
        <v>0.01733779342478</v>
      </c>
      <c r="AZ156" t="str">
        <f t="shared" si="170"/>
        <v>1+0,828977146313909i</v>
      </c>
      <c r="BA156">
        <f t="shared" si="196"/>
        <v>1.29892382729348</v>
      </c>
      <c r="BB156">
        <f t="shared" si="197"/>
        <v>0.692161897814753</v>
      </c>
      <c r="BC156" s="30" t="str">
        <f t="shared" si="198"/>
        <v>-0,482742637128186+0,60332543317387i</v>
      </c>
      <c r="BD156" s="32">
        <f t="shared" si="199"/>
        <v>-2.23995093275983</v>
      </c>
      <c r="BE156" s="31">
        <f t="shared" si="200"/>
        <v>128.664573095241</v>
      </c>
      <c r="BF156" s="30" t="str">
        <f t="shared" si="201"/>
        <v>7,70947307070162+10,5785558206971i</v>
      </c>
      <c r="BG156" s="68">
        <f t="shared" si="202"/>
        <v>22.3386337132258</v>
      </c>
      <c r="BH156" s="31">
        <f t="shared" si="203"/>
        <v>53.9160654548247</v>
      </c>
      <c r="BI156" s="30" t="str">
        <f t="shared" si="156"/>
        <v>59,324061812873+108,867065312202i</v>
      </c>
      <c r="BJ156" s="68">
        <f t="shared" si="204"/>
        <v>41.8671292172126</v>
      </c>
      <c r="BK156" s="31">
        <f t="shared" si="157"/>
        <v>61.413060528072</v>
      </c>
      <c r="BL156" s="32">
        <f t="shared" si="205"/>
        <v>22.3386337132258</v>
      </c>
      <c r="BM156" s="31">
        <f t="shared" si="206"/>
        <v>53.9160654548247</v>
      </c>
      <c r="BO156">
        <f t="shared" si="207"/>
        <v>0</v>
      </c>
      <c r="BP156">
        <f t="shared" si="208"/>
        <v>0</v>
      </c>
    </row>
    <row r="157" spans="14:68">
      <c r="N157" s="7">
        <v>39</v>
      </c>
      <c r="O157" s="18">
        <f t="shared" si="158"/>
        <v>245.470891568503</v>
      </c>
      <c r="P157" s="86" t="str">
        <f t="shared" si="159"/>
        <v>54,5454545454545</v>
      </c>
      <c r="Q157" s="4" t="str">
        <f t="shared" si="160"/>
        <v>1+3,14076325664129i</v>
      </c>
      <c r="R157" s="4">
        <f t="shared" si="171"/>
        <v>3.29611799459121</v>
      </c>
      <c r="S157" s="4">
        <f t="shared" si="172"/>
        <v>1.26255093313907</v>
      </c>
      <c r="T157" s="4" t="str">
        <f t="shared" si="161"/>
        <v>1+0,0241838770761379i</v>
      </c>
      <c r="U157" s="4">
        <f t="shared" si="173"/>
        <v>1.00029238721008</v>
      </c>
      <c r="V157" s="4">
        <f t="shared" si="174"/>
        <v>0.0241791640031929</v>
      </c>
      <c r="W157" t="str">
        <f t="shared" si="162"/>
        <v>1-0,0694052594659571i</v>
      </c>
      <c r="X157" s="4">
        <f t="shared" si="175"/>
        <v>1.00240565144134</v>
      </c>
      <c r="Y157" s="4">
        <f t="shared" si="176"/>
        <v>-0.069294136667957</v>
      </c>
      <c r="Z157" t="str">
        <f t="shared" si="163"/>
        <v>0,999999508114624+0,00479226791550656i</v>
      </c>
      <c r="AA157" s="4">
        <f t="shared" si="177"/>
        <v>1.00001099097023</v>
      </c>
      <c r="AB157" s="4">
        <f t="shared" si="178"/>
        <v>0.00479223358706601</v>
      </c>
      <c r="AC157" s="67" t="str">
        <f t="shared" si="179"/>
        <v>4,23905084118633-16,0422499762191i</v>
      </c>
      <c r="AD157" s="68">
        <f t="shared" si="180"/>
        <v>24.3984302363965</v>
      </c>
      <c r="AE157" s="31">
        <f t="shared" si="181"/>
        <v>-75.1983121746912</v>
      </c>
      <c r="AF157" s="32" t="str">
        <f t="shared" si="182"/>
        <v>432,040091031901</v>
      </c>
      <c r="AG157" s="32" t="str">
        <f t="shared" si="164"/>
        <v>1+2,55914043133734i</v>
      </c>
      <c r="AH157" s="32">
        <f t="shared" si="183"/>
        <v>2.74758070806036</v>
      </c>
      <c r="AI157" s="32">
        <f t="shared" si="184"/>
        <v>1.19828405106454</v>
      </c>
      <c r="AJ157" s="32" t="str">
        <f t="shared" si="165"/>
        <v>1+0,0241838770761379i</v>
      </c>
      <c r="AK157" s="32">
        <f t="shared" si="185"/>
        <v>1.00029238721008</v>
      </c>
      <c r="AL157" s="32">
        <f t="shared" si="186"/>
        <v>0.0241791640031929</v>
      </c>
      <c r="AM157" s="32" t="str">
        <f t="shared" si="166"/>
        <v>1-0,00713964269372357i</v>
      </c>
      <c r="AN157" s="32">
        <f t="shared" si="187"/>
        <v>1.00002548692411</v>
      </c>
      <c r="AO157" s="32">
        <f t="shared" si="188"/>
        <v>-0.00713952138420018</v>
      </c>
      <c r="AP157" s="30" t="str">
        <f t="shared" si="189"/>
        <v>59,7360890300804-145,509248072698i</v>
      </c>
      <c r="AQ157" s="32">
        <f t="shared" si="190"/>
        <v>43.9342324569108</v>
      </c>
      <c r="AR157" s="31">
        <f t="shared" si="191"/>
        <v>-67.6803191773573</v>
      </c>
      <c r="AS157" t="str">
        <f t="shared" si="167"/>
        <v>-0,000201496259351621</v>
      </c>
      <c r="AT157" t="str">
        <f t="shared" si="168"/>
        <v>0,000346563595600013i</v>
      </c>
      <c r="AU157">
        <f t="shared" si="192"/>
        <v>0.000346563595600013</v>
      </c>
      <c r="AV157">
        <f t="shared" si="193"/>
        <v>1.5707963267949</v>
      </c>
      <c r="AW157" t="str">
        <f t="shared" si="169"/>
        <v>1+0,0177434204341096i</v>
      </c>
      <c r="AX157">
        <f t="shared" si="194"/>
        <v>1.00015740209664</v>
      </c>
      <c r="AY157">
        <f t="shared" si="195"/>
        <v>0.0177415587381809</v>
      </c>
      <c r="AZ157" t="str">
        <f t="shared" si="170"/>
        <v>1+0,848286504583919i</v>
      </c>
      <c r="BA157">
        <f t="shared" si="196"/>
        <v>1.31133138216822</v>
      </c>
      <c r="BB157">
        <f t="shared" si="197"/>
        <v>0.703498450348004</v>
      </c>
      <c r="BC157" s="30" t="str">
        <f t="shared" si="198"/>
        <v>-0,482735798992745+0,589977459570096i</v>
      </c>
      <c r="BD157" s="32">
        <f t="shared" si="199"/>
        <v>-2.35743702879536</v>
      </c>
      <c r="BE157" s="31">
        <f t="shared" si="200"/>
        <v>129.290975661253</v>
      </c>
      <c r="BF157" s="30" t="str">
        <f t="shared" si="201"/>
        <v>7,41822429196723+10,2451128061831i</v>
      </c>
      <c r="BG157" s="68">
        <f t="shared" si="202"/>
        <v>22.0409932076012</v>
      </c>
      <c r="BH157" s="31">
        <f t="shared" si="203"/>
        <v>54.0926634865621</v>
      </c>
      <c r="BI157" s="30" t="str">
        <f t="shared" si="156"/>
        <v>57,0104278552476+105,485469179827i</v>
      </c>
      <c r="BJ157" s="68">
        <f t="shared" si="204"/>
        <v>41.5767954281155</v>
      </c>
      <c r="BK157" s="31">
        <f t="shared" si="157"/>
        <v>61.6106564838958</v>
      </c>
      <c r="BL157" s="32">
        <f t="shared" si="205"/>
        <v>22.0409932076012</v>
      </c>
      <c r="BM157" s="31">
        <f t="shared" si="206"/>
        <v>54.0926634865621</v>
      </c>
      <c r="BO157">
        <f t="shared" si="207"/>
        <v>0</v>
      </c>
      <c r="BP157">
        <f t="shared" si="208"/>
        <v>0</v>
      </c>
    </row>
    <row r="158" spans="14:68">
      <c r="N158" s="7">
        <v>40</v>
      </c>
      <c r="O158" s="18">
        <f t="shared" si="158"/>
        <v>251.188643150958</v>
      </c>
      <c r="P158" s="86" t="str">
        <f t="shared" si="159"/>
        <v>54,5454545454545</v>
      </c>
      <c r="Q158" s="4" t="str">
        <f t="shared" si="160"/>
        <v>1+3,21392103093392i</v>
      </c>
      <c r="R158" s="4">
        <f t="shared" si="171"/>
        <v>3.36590082935896</v>
      </c>
      <c r="S158" s="4">
        <f t="shared" si="172"/>
        <v>1.26914509442704</v>
      </c>
      <c r="T158" s="4" t="str">
        <f t="shared" si="161"/>
        <v>1+0,0247471919381912i</v>
      </c>
      <c r="U158" s="4">
        <f t="shared" si="173"/>
        <v>1.00030616488594</v>
      </c>
      <c r="V158" s="4">
        <f t="shared" si="174"/>
        <v>0.0247421418730217</v>
      </c>
      <c r="W158" t="str">
        <f t="shared" si="162"/>
        <v>1-0,0710219156389417i</v>
      </c>
      <c r="X158" s="4">
        <f t="shared" si="175"/>
        <v>1.00251888386256</v>
      </c>
      <c r="Y158" s="4">
        <f t="shared" si="176"/>
        <v>-0.0709028615675366</v>
      </c>
      <c r="Z158" t="str">
        <f t="shared" si="163"/>
        <v>0,99999948493278+0,00490389417506978i</v>
      </c>
      <c r="AA158" s="4">
        <f t="shared" si="177"/>
        <v>1.00001150895572</v>
      </c>
      <c r="AB158" s="4">
        <f t="shared" si="178"/>
        <v>0.00490385739150587</v>
      </c>
      <c r="AC158" s="67" t="str">
        <f t="shared" si="179"/>
        <v>4,02977676426068-15,7433498320151i</v>
      </c>
      <c r="AD158" s="68">
        <f t="shared" si="180"/>
        <v>24.2175551640293</v>
      </c>
      <c r="AE158" s="31">
        <f t="shared" si="181"/>
        <v>-75.6424422500509</v>
      </c>
      <c r="AF158" s="32" t="str">
        <f t="shared" si="182"/>
        <v>432,040091031901</v>
      </c>
      <c r="AG158" s="32" t="str">
        <f t="shared" si="164"/>
        <v>1+2,61875046964986i</v>
      </c>
      <c r="AH158" s="32">
        <f t="shared" si="183"/>
        <v>2.8031864051988</v>
      </c>
      <c r="AI158" s="32">
        <f t="shared" si="184"/>
        <v>1.2060237006835</v>
      </c>
      <c r="AJ158" s="32" t="str">
        <f t="shared" si="165"/>
        <v>1+0,0247471919381912i</v>
      </c>
      <c r="AK158" s="32">
        <f t="shared" si="185"/>
        <v>1.00030616488594</v>
      </c>
      <c r="AL158" s="32">
        <f t="shared" si="186"/>
        <v>0.0247421418730217</v>
      </c>
      <c r="AM158" s="32" t="str">
        <f t="shared" si="166"/>
        <v>1-0,00730594633587584i</v>
      </c>
      <c r="AN158" s="32">
        <f t="shared" si="187"/>
        <v>1.0000266880698</v>
      </c>
      <c r="AO158" s="32">
        <f t="shared" si="188"/>
        <v>-0.00730581635056698</v>
      </c>
      <c r="AP158" s="30" t="str">
        <f t="shared" si="189"/>
        <v>57,503145150223-143,051071030756i</v>
      </c>
      <c r="AQ158" s="32">
        <f t="shared" si="190"/>
        <v>43.7603321268604</v>
      </c>
      <c r="AR158" s="31">
        <f t="shared" si="191"/>
        <v>-68.1010401792602</v>
      </c>
      <c r="AS158" t="str">
        <f t="shared" si="167"/>
        <v>-0,000201496259351621</v>
      </c>
      <c r="AT158" t="str">
        <f t="shared" si="168"/>
        <v>0,000354636098757114i</v>
      </c>
      <c r="AU158">
        <f t="shared" si="192"/>
        <v>0.000354636098757114</v>
      </c>
      <c r="AV158">
        <f t="shared" si="193"/>
        <v>1.5707963267949</v>
      </c>
      <c r="AW158" t="str">
        <f t="shared" si="169"/>
        <v>1+0,0181567177893155i</v>
      </c>
      <c r="AX158">
        <f t="shared" si="194"/>
        <v>1.00016481961769</v>
      </c>
      <c r="AY158">
        <f t="shared" si="195"/>
        <v>0.0181547229639416</v>
      </c>
      <c r="AZ158" t="str">
        <f t="shared" si="170"/>
        <v>1+0,868045635587063i</v>
      </c>
      <c r="BA158">
        <f t="shared" si="196"/>
        <v>1.32419908830272</v>
      </c>
      <c r="BB158">
        <f t="shared" si="197"/>
        <v>0.71487764362323</v>
      </c>
      <c r="BC158" s="30" t="str">
        <f t="shared" si="198"/>
        <v>-0,482728638793547+0,576942288389008i</v>
      </c>
      <c r="BD158" s="32">
        <f t="shared" si="199"/>
        <v>-2.47268484873742</v>
      </c>
      <c r="BE158" s="31">
        <f t="shared" si="200"/>
        <v>129.919282843805</v>
      </c>
      <c r="BF158" s="30" t="str">
        <f t="shared" si="201"/>
        <v>7,13771562693807+9,92471446252867i</v>
      </c>
      <c r="BG158" s="68">
        <f t="shared" si="202"/>
        <v>21.7448703152918</v>
      </c>
      <c r="BH158" s="31">
        <f t="shared" si="203"/>
        <v>54.2768405937545</v>
      </c>
      <c r="BI158" s="30" t="str">
        <f t="shared" si="156"/>
        <v>54,773797292268+102,230844949171i</v>
      </c>
      <c r="BJ158" s="68">
        <f t="shared" si="204"/>
        <v>41.287647278123</v>
      </c>
      <c r="BK158" s="31">
        <f t="shared" si="157"/>
        <v>61.8182426645453</v>
      </c>
      <c r="BL158" s="32">
        <f t="shared" si="205"/>
        <v>21.7448703152918</v>
      </c>
      <c r="BM158" s="31">
        <f t="shared" si="206"/>
        <v>54.2768405937545</v>
      </c>
      <c r="BO158">
        <f t="shared" si="207"/>
        <v>0</v>
      </c>
      <c r="BP158">
        <f t="shared" si="208"/>
        <v>0</v>
      </c>
    </row>
    <row r="159" spans="14:68">
      <c r="N159" s="7">
        <v>41</v>
      </c>
      <c r="O159" s="18">
        <f t="shared" si="158"/>
        <v>257.039578276887</v>
      </c>
      <c r="P159" s="86" t="str">
        <f t="shared" si="159"/>
        <v>54,5454545454545</v>
      </c>
      <c r="Q159" s="4" t="str">
        <f t="shared" si="160"/>
        <v>1+3,28878286869841i</v>
      </c>
      <c r="R159" s="4">
        <f t="shared" si="171"/>
        <v>3.43745440078034</v>
      </c>
      <c r="S159" s="4">
        <f t="shared" si="172"/>
        <v>1.27561540687064</v>
      </c>
      <c r="T159" s="4" t="str">
        <f t="shared" si="161"/>
        <v>1+0,0253236280889778i</v>
      </c>
      <c r="U159" s="4">
        <f t="shared" si="173"/>
        <v>1.00032059168028</v>
      </c>
      <c r="V159" s="4">
        <f t="shared" si="174"/>
        <v>0.0253182169403162</v>
      </c>
      <c r="W159" t="str">
        <f t="shared" si="162"/>
        <v>1-0,0726762285716837i</v>
      </c>
      <c r="X159" s="4">
        <f t="shared" si="175"/>
        <v>1.00263743905731</v>
      </c>
      <c r="Y159" s="4">
        <f t="shared" si="176"/>
        <v>-0.0725486779525526</v>
      </c>
      <c r="Z159" t="str">
        <f t="shared" si="163"/>
        <v>0,99999946065841+0,0050181205442353i</v>
      </c>
      <c r="AA159" s="4">
        <f t="shared" si="177"/>
        <v>1.00001205135284</v>
      </c>
      <c r="AB159" s="4">
        <f t="shared" si="178"/>
        <v>0.00501808112996209</v>
      </c>
      <c r="AC159" s="67" t="str">
        <f t="shared" si="179"/>
        <v>3,82828927960266-15,4474304805014i</v>
      </c>
      <c r="AD159" s="68">
        <f t="shared" si="180"/>
        <v>24.0359902381038</v>
      </c>
      <c r="AE159" s="31">
        <f t="shared" si="181"/>
        <v>-76.0810000460104</v>
      </c>
      <c r="AF159" s="32" t="str">
        <f t="shared" si="182"/>
        <v>432,040091031901</v>
      </c>
      <c r="AG159" s="32" t="str">
        <f t="shared" si="164"/>
        <v>1+2,67974900412463i</v>
      </c>
      <c r="AH159" s="32">
        <f t="shared" si="183"/>
        <v>2.86025431126446</v>
      </c>
      <c r="AI159" s="32">
        <f t="shared" si="184"/>
        <v>1.21363163865981</v>
      </c>
      <c r="AJ159" s="32" t="str">
        <f t="shared" si="165"/>
        <v>1+0,0253236280889778i</v>
      </c>
      <c r="AK159" s="32">
        <f t="shared" si="185"/>
        <v>1.00032059168028</v>
      </c>
      <c r="AL159" s="32">
        <f t="shared" si="186"/>
        <v>0.0253182169403162</v>
      </c>
      <c r="AM159" s="32" t="str">
        <f t="shared" si="166"/>
        <v>1-0,00747612368748098i</v>
      </c>
      <c r="AN159" s="32">
        <f t="shared" si="187"/>
        <v>1.00002794582221</v>
      </c>
      <c r="AO159" s="32">
        <f t="shared" si="188"/>
        <v>-0.00747598440592335</v>
      </c>
      <c r="AP159" s="30" t="str">
        <f t="shared" si="189"/>
        <v>55,3455526338633-140,601352127007i</v>
      </c>
      <c r="AQ159" s="32">
        <f t="shared" si="190"/>
        <v>43.5854149091205</v>
      </c>
      <c r="AR159" s="31">
        <f t="shared" si="191"/>
        <v>-68.5136861574416</v>
      </c>
      <c r="AS159" t="str">
        <f t="shared" si="167"/>
        <v>-0,000201496259351621</v>
      </c>
      <c r="AT159" t="str">
        <f t="shared" si="168"/>
        <v>0,000362896634667941i</v>
      </c>
      <c r="AU159">
        <f t="shared" si="192"/>
        <v>0.000362896634667941</v>
      </c>
      <c r="AV159">
        <f t="shared" si="193"/>
        <v>1.5707963267949</v>
      </c>
      <c r="AW159" t="str">
        <f t="shared" si="169"/>
        <v>1+0,0185796420766258i</v>
      </c>
      <c r="AX159">
        <f t="shared" si="194"/>
        <v>1.00017258665677</v>
      </c>
      <c r="AY159">
        <f t="shared" si="195"/>
        <v>0.0185775046026472</v>
      </c>
      <c r="AZ159" t="str">
        <f t="shared" si="170"/>
        <v>1+0,888265015876132i</v>
      </c>
      <c r="BA159">
        <f t="shared" si="196"/>
        <v>1.33754055580735</v>
      </c>
      <c r="BB159">
        <f t="shared" si="197"/>
        <v>0.726293724327006</v>
      </c>
      <c r="BC159" s="30" t="str">
        <f t="shared" si="198"/>
        <v>-0,482721141372206+0,564213007392976i</v>
      </c>
      <c r="BD159" s="32">
        <f t="shared" si="199"/>
        <v>-2.58567880748834</v>
      </c>
      <c r="BE159" s="31">
        <f t="shared" si="200"/>
        <v>130.549152483159</v>
      </c>
      <c r="BF159" s="30" t="str">
        <f t="shared" si="201"/>
        <v>6,86764503734484+9,61677188043035i</v>
      </c>
      <c r="BG159" s="68">
        <f t="shared" si="202"/>
        <v>21.4503114306154</v>
      </c>
      <c r="BH159" s="31">
        <f t="shared" si="203"/>
        <v>54.4681524371486</v>
      </c>
      <c r="BI159" s="30" t="str">
        <f t="shared" si="156"/>
        <v>52,6126433898034+99,0979258746025i</v>
      </c>
      <c r="BJ159" s="68">
        <f t="shared" si="204"/>
        <v>40.9997361016322</v>
      </c>
      <c r="BK159" s="31">
        <f t="shared" si="157"/>
        <v>62.0354663257174</v>
      </c>
      <c r="BL159" s="32">
        <f t="shared" si="205"/>
        <v>21.4503114306154</v>
      </c>
      <c r="BM159" s="31">
        <f t="shared" si="206"/>
        <v>54.4681524371486</v>
      </c>
      <c r="BO159">
        <f t="shared" si="207"/>
        <v>0</v>
      </c>
      <c r="BP159">
        <f t="shared" si="208"/>
        <v>0</v>
      </c>
    </row>
    <row r="160" spans="14:68">
      <c r="N160" s="7">
        <v>42</v>
      </c>
      <c r="O160" s="18">
        <f t="shared" si="158"/>
        <v>263.026799189538</v>
      </c>
      <c r="P160" s="86" t="str">
        <f t="shared" si="159"/>
        <v>54,5454545454545</v>
      </c>
      <c r="Q160" s="4" t="str">
        <f t="shared" si="160"/>
        <v>1+3,36538846267207i</v>
      </c>
      <c r="R160" s="4">
        <f t="shared" si="171"/>
        <v>3.51081749806028</v>
      </c>
      <c r="S160" s="4">
        <f t="shared" si="172"/>
        <v>1.28196313329005</v>
      </c>
      <c r="T160" s="4" t="str">
        <f t="shared" si="161"/>
        <v>1+0,025913491162575i</v>
      </c>
      <c r="U160" s="4">
        <f t="shared" si="173"/>
        <v>1.00033569816549</v>
      </c>
      <c r="V160" s="4">
        <f t="shared" si="174"/>
        <v>0.0259076931174046</v>
      </c>
      <c r="W160" t="str">
        <f t="shared" si="162"/>
        <v>1-0,0743690754027982i</v>
      </c>
      <c r="X160" s="4">
        <f t="shared" si="175"/>
        <v>1.00276156656319</v>
      </c>
      <c r="Y160" s="4">
        <f t="shared" si="176"/>
        <v>-0.0742324227722973</v>
      </c>
      <c r="Z160" t="str">
        <f t="shared" si="163"/>
        <v>0,999999435240024+0,00513500758733606i</v>
      </c>
      <c r="AA160" s="4">
        <f t="shared" si="177"/>
        <v>1.00001261931202</v>
      </c>
      <c r="AB160" s="4">
        <f t="shared" si="178"/>
        <v>0.00513496535421018</v>
      </c>
      <c r="AC160" s="67" t="str">
        <f t="shared" si="179"/>
        <v>3,63436359855982-15,154633015328i</v>
      </c>
      <c r="AD160" s="68">
        <f t="shared" si="180"/>
        <v>23.8537655613844</v>
      </c>
      <c r="AE160" s="31">
        <f t="shared" si="181"/>
        <v>-76.5140919269651</v>
      </c>
      <c r="AF160" s="32" t="str">
        <f t="shared" si="182"/>
        <v>432,040091031901</v>
      </c>
      <c r="AG160" s="32" t="str">
        <f t="shared" si="164"/>
        <v>1+2,74216837699206i</v>
      </c>
      <c r="AH160" s="32">
        <f t="shared" si="183"/>
        <v>2.91881609694329</v>
      </c>
      <c r="AI160" s="32">
        <f t="shared" si="184"/>
        <v>1.22110837499574</v>
      </c>
      <c r="AJ160" s="32" t="str">
        <f t="shared" si="165"/>
        <v>1+0,025913491162575i</v>
      </c>
      <c r="AK160" s="32">
        <f t="shared" si="185"/>
        <v>1.00033569816549</v>
      </c>
      <c r="AL160" s="32">
        <f t="shared" si="186"/>
        <v>0.0259076931174046</v>
      </c>
      <c r="AM160" s="32" t="str">
        <f t="shared" si="166"/>
        <v>1-0,00765026497882343i</v>
      </c>
      <c r="AN160" s="32">
        <f t="shared" si="187"/>
        <v>1.00002926284897</v>
      </c>
      <c r="AO160" s="32">
        <f t="shared" si="188"/>
        <v>-0.00765011573618143</v>
      </c>
      <c r="AP160" s="30" t="str">
        <f t="shared" si="189"/>
        <v>53,2617339950564-138,162196762042i</v>
      </c>
      <c r="AQ160" s="32">
        <f t="shared" si="190"/>
        <v>43.4095158428579</v>
      </c>
      <c r="AR160" s="31">
        <f t="shared" si="191"/>
        <v>-68.9182740872567</v>
      </c>
      <c r="AS160" t="str">
        <f t="shared" si="167"/>
        <v>-0,000201496259351621</v>
      </c>
      <c r="AT160" t="str">
        <f t="shared" si="168"/>
        <v>0,000371349583177972i</v>
      </c>
      <c r="AU160">
        <f t="shared" si="192"/>
        <v>0.000371349583177972</v>
      </c>
      <c r="AV160">
        <f t="shared" si="193"/>
        <v>1.5707963267949</v>
      </c>
      <c r="AW160" t="str">
        <f t="shared" si="169"/>
        <v>1+0,0190124175360958i</v>
      </c>
      <c r="AX160">
        <f t="shared" si="194"/>
        <v>1.00018071968048</v>
      </c>
      <c r="AY160">
        <f t="shared" si="195"/>
        <v>0.0190101272138135</v>
      </c>
      <c r="AZ160" t="str">
        <f t="shared" si="170"/>
        <v>1+0,908955366034198i</v>
      </c>
      <c r="BA160">
        <f t="shared" si="196"/>
        <v>1.35136962280583</v>
      </c>
      <c r="BB160">
        <f t="shared" si="197"/>
        <v>0.737740843756762</v>
      </c>
      <c r="BC160" s="30" t="str">
        <f t="shared" si="198"/>
        <v>-0,482713290857897+0,551782866473015i</v>
      </c>
      <c r="BD160" s="32">
        <f t="shared" si="199"/>
        <v>-2.69640557640913</v>
      </c>
      <c r="BE160" s="31">
        <f t="shared" si="200"/>
        <v>131.180236664324</v>
      </c>
      <c r="BF160" s="30" t="str">
        <f t="shared" si="201"/>
        <v>6,60771123270932+9,32072233879123i</v>
      </c>
      <c r="BG160" s="68">
        <f t="shared" si="202"/>
        <v>21.1573599849753</v>
      </c>
      <c r="BH160" s="31">
        <f t="shared" si="203"/>
        <v>54.6661447373594</v>
      </c>
      <c r="BI160" s="30" t="str">
        <f t="shared" si="156"/>
        <v>50,5253860740166+96,081640928277i</v>
      </c>
      <c r="BJ160" s="68">
        <f t="shared" si="204"/>
        <v>40.7131102664488</v>
      </c>
      <c r="BK160" s="31">
        <f t="shared" si="157"/>
        <v>62.2619625770678</v>
      </c>
      <c r="BL160" s="32">
        <f t="shared" si="205"/>
        <v>21.1573599849753</v>
      </c>
      <c r="BM160" s="31">
        <f t="shared" si="206"/>
        <v>54.6661447373594</v>
      </c>
      <c r="BO160">
        <f t="shared" si="207"/>
        <v>0</v>
      </c>
      <c r="BP160">
        <f t="shared" si="208"/>
        <v>0</v>
      </c>
    </row>
    <row r="161" spans="14:68">
      <c r="N161" s="7">
        <v>43</v>
      </c>
      <c r="O161" s="18">
        <f t="shared" si="158"/>
        <v>269.153480392692</v>
      </c>
      <c r="P161" s="86" t="str">
        <f t="shared" si="159"/>
        <v>54,5454545454545</v>
      </c>
      <c r="Q161" s="4" t="str">
        <f t="shared" si="160"/>
        <v>1+3,44377843015484i</v>
      </c>
      <c r="R161" s="4">
        <f t="shared" si="171"/>
        <v>3.58602982084641</v>
      </c>
      <c r="S161" s="4">
        <f t="shared" si="172"/>
        <v>1.28818959238728</v>
      </c>
      <c r="T161" s="4" t="str">
        <f t="shared" si="161"/>
        <v>1+0,0265170939121923i</v>
      </c>
      <c r="U161" s="4">
        <f t="shared" si="173"/>
        <v>1.0003515163529</v>
      </c>
      <c r="V161" s="4">
        <f t="shared" si="174"/>
        <v>0.0265108813127605</v>
      </c>
      <c r="W161" t="str">
        <f t="shared" si="162"/>
        <v>1-0,0761013537020825i</v>
      </c>
      <c r="X161" s="4">
        <f t="shared" si="175"/>
        <v>1.00289152755185</v>
      </c>
      <c r="Y161" s="4">
        <f t="shared" si="176"/>
        <v>-0.0759549505618771</v>
      </c>
      <c r="Z161" t="str">
        <f t="shared" si="163"/>
        <v>0,999999408623706+0,0052546172794295i</v>
      </c>
      <c r="AA161" s="4">
        <f t="shared" si="177"/>
        <v>1.00001321403795</v>
      </c>
      <c r="AB161" s="4">
        <f t="shared" si="178"/>
        <v>0.00525457202585208</v>
      </c>
      <c r="AC161" s="67" t="str">
        <f t="shared" si="179"/>
        <v>3,44777605220556-14,8650859982792i</v>
      </c>
      <c r="AD161" s="68">
        <f t="shared" si="180"/>
        <v>23.6709105380321</v>
      </c>
      <c r="AE161" s="31">
        <f t="shared" si="181"/>
        <v>-76.9418281466248</v>
      </c>
      <c r="AF161" s="32" t="str">
        <f t="shared" si="182"/>
        <v>432,040091031901</v>
      </c>
      <c r="AG161" s="32" t="str">
        <f t="shared" si="164"/>
        <v>1+2,80604168382987i</v>
      </c>
      <c r="AH161" s="32">
        <f t="shared" si="183"/>
        <v>2.97890414941313</v>
      </c>
      <c r="AI161" s="32">
        <f t="shared" si="184"/>
        <v>1.2284545292787</v>
      </c>
      <c r="AJ161" s="32" t="str">
        <f t="shared" si="165"/>
        <v>1+0,0265170939121923i</v>
      </c>
      <c r="AK161" s="32">
        <f t="shared" si="185"/>
        <v>1.0003515163529</v>
      </c>
      <c r="AL161" s="32">
        <f t="shared" si="186"/>
        <v>0.0265108813127605</v>
      </c>
      <c r="AM161" s="32" t="str">
        <f t="shared" si="166"/>
        <v>1-0,0078284625419209i</v>
      </c>
      <c r="AN161" s="32">
        <f t="shared" si="187"/>
        <v>1.00003064194342</v>
      </c>
      <c r="AO161" s="32">
        <f t="shared" si="188"/>
        <v>-0.00782830262581347</v>
      </c>
      <c r="AP161" s="30" t="str">
        <f t="shared" si="189"/>
        <v>51,2500666911324-135,735585435904i</v>
      </c>
      <c r="AQ161" s="32">
        <f t="shared" si="190"/>
        <v>43.232669234823</v>
      </c>
      <c r="AR161" s="31">
        <f t="shared" si="191"/>
        <v>-69.3148269422166</v>
      </c>
      <c r="AS161" t="str">
        <f t="shared" si="167"/>
        <v>-0,000201496259351621</v>
      </c>
      <c r="AT161" t="str">
        <f t="shared" si="168"/>
        <v>0,000379999426152399i</v>
      </c>
      <c r="AU161">
        <f t="shared" si="192"/>
        <v>0.000379999426152399</v>
      </c>
      <c r="AV161">
        <f t="shared" si="193"/>
        <v>1.5707963267949</v>
      </c>
      <c r="AW161" t="str">
        <f t="shared" si="169"/>
        <v>1+0,0194552736310026i</v>
      </c>
      <c r="AX161">
        <f t="shared" si="194"/>
        <v>1.00018923593091</v>
      </c>
      <c r="AY161">
        <f t="shared" si="195"/>
        <v>0.0194528195315387</v>
      </c>
      <c r="AZ161" t="str">
        <f t="shared" si="170"/>
        <v>1+0,930127656358785i</v>
      </c>
      <c r="BA161">
        <f t="shared" si="196"/>
        <v>1.36570035407606</v>
      </c>
      <c r="BB161">
        <f t="shared" si="197"/>
        <v>0.749213072368599</v>
      </c>
      <c r="BC161" s="30" t="str">
        <f t="shared" si="198"/>
        <v>-0,482705070633922+0,539645274065604i</v>
      </c>
      <c r="BD161" s="32">
        <f t="shared" si="199"/>
        <v>-2.80485413925726</v>
      </c>
      <c r="BE161" s="31">
        <f t="shared" si="200"/>
        <v>131.812182543964</v>
      </c>
      <c r="BF161" s="30" t="str">
        <f t="shared" si="201"/>
        <v>6,35761442474032+9,03602843938798i</v>
      </c>
      <c r="BG161" s="68">
        <f t="shared" si="202"/>
        <v>20.8660563987749</v>
      </c>
      <c r="BH161" s="31">
        <f t="shared" si="203"/>
        <v>54.8703543973387</v>
      </c>
      <c r="BI161" s="30" t="str">
        <f t="shared" si="156"/>
        <v>48,5104001408773+93,1771116407914i</v>
      </c>
      <c r="BJ161" s="68">
        <f t="shared" si="204"/>
        <v>40.4278150955657</v>
      </c>
      <c r="BK161" s="31">
        <f t="shared" si="157"/>
        <v>62.4973556017469</v>
      </c>
      <c r="BL161" s="32">
        <f t="shared" si="205"/>
        <v>20.8660563987749</v>
      </c>
      <c r="BM161" s="31">
        <f t="shared" si="206"/>
        <v>54.8703543973387</v>
      </c>
      <c r="BO161">
        <f t="shared" si="207"/>
        <v>0</v>
      </c>
      <c r="BP161">
        <f t="shared" si="208"/>
        <v>0</v>
      </c>
    </row>
    <row r="162" spans="14:68">
      <c r="N162" s="7">
        <v>44</v>
      </c>
      <c r="O162" s="18">
        <f t="shared" si="158"/>
        <v>275.422870333817</v>
      </c>
      <c r="P162" s="86" t="str">
        <f t="shared" si="159"/>
        <v>54,5454545454545</v>
      </c>
      <c r="Q162" s="4" t="str">
        <f t="shared" si="160"/>
        <v>1+3,52399433454507i</v>
      </c>
      <c r="R162" s="4">
        <f t="shared" si="171"/>
        <v>3.66313200279566</v>
      </c>
      <c r="S162" s="4">
        <f t="shared" si="172"/>
        <v>1.2942961536401</v>
      </c>
      <c r="T162" s="4" t="str">
        <f t="shared" si="161"/>
        <v>1+0,0271347563759971i</v>
      </c>
      <c r="U162" s="4">
        <f t="shared" si="173"/>
        <v>1.00036807976044</v>
      </c>
      <c r="V162" s="4">
        <f t="shared" si="174"/>
        <v>0.0271280995880512</v>
      </c>
      <c r="W162" t="str">
        <f t="shared" si="162"/>
        <v>1-0,0778739819464202i</v>
      </c>
      <c r="X162" s="4">
        <f t="shared" si="175"/>
        <v>1.00302759536525</v>
      </c>
      <c r="Y162" s="4">
        <f t="shared" si="176"/>
        <v>-0.0777171337181187</v>
      </c>
      <c r="Z162" t="str">
        <f t="shared" si="163"/>
        <v>0,999999380753+0,00537701303915758i</v>
      </c>
      <c r="AA162" s="4">
        <f t="shared" si="177"/>
        <v>1.00001383679208</v>
      </c>
      <c r="AB162" s="4">
        <f t="shared" si="178"/>
        <v>0.00537696454911196</v>
      </c>
      <c r="AC162" s="67" t="str">
        <f t="shared" si="179"/>
        <v>3,26830460353763-14,5789059659647i</v>
      </c>
      <c r="AD162" s="68">
        <f t="shared" si="180"/>
        <v>23.4874538836042</v>
      </c>
      <c r="AE162" s="31">
        <f t="shared" si="181"/>
        <v>-77.3643225641457</v>
      </c>
      <c r="AF162" s="32" t="str">
        <f t="shared" si="182"/>
        <v>432,040091031901</v>
      </c>
      <c r="AG162" s="32" t="str">
        <f t="shared" si="164"/>
        <v>1+2,8714027911108i</v>
      </c>
      <c r="AH162" s="32">
        <f t="shared" si="183"/>
        <v>3.04055159285267</v>
      </c>
      <c r="AI162" s="32">
        <f t="shared" si="184"/>
        <v>1.2356708240317</v>
      </c>
      <c r="AJ162" s="32" t="str">
        <f t="shared" si="165"/>
        <v>1+0,0271347563759971i</v>
      </c>
      <c r="AK162" s="32">
        <f t="shared" si="185"/>
        <v>1.00036807976044</v>
      </c>
      <c r="AL162" s="32">
        <f t="shared" si="186"/>
        <v>0.0271280995880512</v>
      </c>
      <c r="AM162" s="32" t="str">
        <f t="shared" si="166"/>
        <v>1-0,00801081085948005i</v>
      </c>
      <c r="AN162" s="32">
        <f t="shared" si="187"/>
        <v>1.00003208603056</v>
      </c>
      <c r="AO162" s="32">
        <f t="shared" si="188"/>
        <v>-0.00801063950658066</v>
      </c>
      <c r="AP162" s="30" t="str">
        <f t="shared" si="189"/>
        <v>49,3088908906696-133,323375768201i</v>
      </c>
      <c r="AQ162" s="32">
        <f t="shared" si="190"/>
        <v>43.054908640814</v>
      </c>
      <c r="AR162" s="31">
        <f t="shared" si="191"/>
        <v>-69.703373306791</v>
      </c>
      <c r="AS162" t="str">
        <f t="shared" si="167"/>
        <v>-0,000201496259351621</v>
      </c>
      <c r="AT162" t="str">
        <f t="shared" si="168"/>
        <v>0,000388850749852457i</v>
      </c>
      <c r="AU162">
        <f t="shared" si="192"/>
        <v>0.000388850749852457</v>
      </c>
      <c r="AV162">
        <f t="shared" si="193"/>
        <v>1.5707963267949</v>
      </c>
      <c r="AW162" t="str">
        <f t="shared" si="169"/>
        <v>1+0,0199084451695096i</v>
      </c>
      <c r="AX162">
        <f t="shared" si="194"/>
        <v>1.00019815346214</v>
      </c>
      <c r="AY162">
        <f t="shared" si="195"/>
        <v>0.0199058155826929</v>
      </c>
      <c r="AZ162" t="str">
        <f t="shared" si="170"/>
        <v>1+0,951793112678467i</v>
      </c>
      <c r="BA162">
        <f t="shared" si="196"/>
        <v>1.38054703988751</v>
      </c>
      <c r="BB162">
        <f t="shared" si="197"/>
        <v>0.76070441483434</v>
      </c>
      <c r="BC162" s="30" t="str">
        <f t="shared" si="198"/>
        <v>-0,482696463302793+0,527793793653306i</v>
      </c>
      <c r="BD162" s="32">
        <f t="shared" si="199"/>
        <v>-2.91101583899495</v>
      </c>
      <c r="BE162" s="31">
        <f t="shared" si="200"/>
        <v>132.444633206323</v>
      </c>
      <c r="BF162" s="30" t="str">
        <f t="shared" si="201"/>
        <v>6,11705701396747+8,76217723411084i</v>
      </c>
      <c r="BG162" s="68">
        <f t="shared" si="202"/>
        <v>20.5764380446092</v>
      </c>
      <c r="BH162" s="31">
        <f t="shared" si="203"/>
        <v>55.080310642177</v>
      </c>
      <c r="BI162" s="30" t="str">
        <f t="shared" si="156"/>
        <v>46,5660230370545+90,3796485429234i</v>
      </c>
      <c r="BJ162" s="68">
        <f t="shared" si="204"/>
        <v>40.1438928018191</v>
      </c>
      <c r="BK162" s="31">
        <f t="shared" si="157"/>
        <v>62.7412598995317</v>
      </c>
      <c r="BL162" s="32">
        <f t="shared" si="205"/>
        <v>20.5764380446092</v>
      </c>
      <c r="BM162" s="31">
        <f t="shared" si="206"/>
        <v>55.080310642177</v>
      </c>
      <c r="BO162">
        <f t="shared" si="207"/>
        <v>0</v>
      </c>
      <c r="BP162">
        <f t="shared" si="208"/>
        <v>0</v>
      </c>
    </row>
    <row r="163" spans="14:68">
      <c r="N163" s="7">
        <v>45</v>
      </c>
      <c r="O163" s="18">
        <f t="shared" si="158"/>
        <v>281.838293126446</v>
      </c>
      <c r="P163" s="86" t="str">
        <f t="shared" si="159"/>
        <v>54,5454545454545</v>
      </c>
      <c r="Q163" s="4" t="str">
        <f t="shared" si="160"/>
        <v>1+3,60607870737705i</v>
      </c>
      <c r="R163" s="4">
        <f t="shared" si="171"/>
        <v>3.74216563553755</v>
      </c>
      <c r="S163" s="4">
        <f t="shared" si="172"/>
        <v>1.30028423240769</v>
      </c>
      <c r="T163" s="4" t="str">
        <f t="shared" si="161"/>
        <v>1+0,0277668060468033i</v>
      </c>
      <c r="U163" s="4">
        <f t="shared" si="173"/>
        <v>1.00038542348339</v>
      </c>
      <c r="V163" s="4">
        <f t="shared" si="174"/>
        <v>0.0277596733184228</v>
      </c>
      <c r="W163" t="str">
        <f t="shared" si="162"/>
        <v>1-0,0796879000067698i</v>
      </c>
      <c r="X163" s="4">
        <f t="shared" si="175"/>
        <v>1.00317005607598</v>
      </c>
      <c r="Y163" s="4">
        <f t="shared" si="176"/>
        <v>-0.0795198627726764</v>
      </c>
      <c r="Z163" t="str">
        <f t="shared" si="163"/>
        <v>0,999999351568788+0,0055022597623722i</v>
      </c>
      <c r="AA163" s="4">
        <f t="shared" si="177"/>
        <v>1.00001448889528</v>
      </c>
      <c r="AB163" s="4">
        <f t="shared" si="178"/>
        <v>0.00550220780439285</v>
      </c>
      <c r="AC163" s="67" t="str">
        <f t="shared" si="179"/>
        <v>3,09572931111779-14,2961979418535i</v>
      </c>
      <c r="AD163" s="68">
        <f t="shared" si="180"/>
        <v>23.3034236370308</v>
      </c>
      <c r="AE163" s="31">
        <f t="shared" si="181"/>
        <v>-77.7816923720903</v>
      </c>
      <c r="AF163" s="32" t="str">
        <f t="shared" si="182"/>
        <v>432,040091031901</v>
      </c>
      <c r="AG163" s="32" t="str">
        <f t="shared" si="164"/>
        <v>1+2,93828635415908i</v>
      </c>
      <c r="AH163" s="32">
        <f t="shared" si="183"/>
        <v>3.10379230926257</v>
      </c>
      <c r="AI163" s="32">
        <f t="shared" si="184"/>
        <v>1.24275807818269</v>
      </c>
      <c r="AJ163" s="32" t="str">
        <f t="shared" si="165"/>
        <v>1+0,0277668060468033i</v>
      </c>
      <c r="AK163" s="32">
        <f t="shared" si="185"/>
        <v>1.00038542348339</v>
      </c>
      <c r="AL163" s="32">
        <f t="shared" si="186"/>
        <v>0.0277596733184228</v>
      </c>
      <c r="AM163" s="32" t="str">
        <f t="shared" si="166"/>
        <v>1-0,0081974066149925i</v>
      </c>
      <c r="AN163" s="32">
        <f t="shared" si="187"/>
        <v>1.00003359817319</v>
      </c>
      <c r="AO163" s="32">
        <f t="shared" si="188"/>
        <v>-0.00819722300738595</v>
      </c>
      <c r="AP163" s="30" t="str">
        <f t="shared" si="189"/>
        <v>47,436516803801-130,927304901487i</v>
      </c>
      <c r="AQ163" s="32">
        <f t="shared" si="190"/>
        <v>42.8762668506904</v>
      </c>
      <c r="AR163" s="31">
        <f t="shared" si="191"/>
        <v>-70.0839469959003</v>
      </c>
      <c r="AS163" t="str">
        <f t="shared" si="167"/>
        <v>-0,000201496259351621</v>
      </c>
      <c r="AT163" t="str">
        <f t="shared" si="168"/>
        <v>0,000397908247367136i</v>
      </c>
      <c r="AU163">
        <f t="shared" si="192"/>
        <v>0.000397908247367136</v>
      </c>
      <c r="AV163">
        <f t="shared" si="193"/>
        <v>1.5707963267949</v>
      </c>
      <c r="AW163" t="str">
        <f t="shared" si="169"/>
        <v>1+0,0203721724291648i</v>
      </c>
      <c r="AX163">
        <f t="shared" si="194"/>
        <v>1.00020749117845</v>
      </c>
      <c r="AY163">
        <f t="shared" si="195"/>
        <v>0.0203693548076941</v>
      </c>
      <c r="AZ163" t="str">
        <f t="shared" si="170"/>
        <v>1+0,973963222304962i</v>
      </c>
      <c r="BA163">
        <f t="shared" si="196"/>
        <v>1.39592419507746</v>
      </c>
      <c r="BB163">
        <f t="shared" si="197"/>
        <v>0.772208825516555</v>
      </c>
      <c r="BC163" s="30" t="str">
        <f t="shared" si="198"/>
        <v>-0,482687450649641+0,516222140347237i</v>
      </c>
      <c r="BD163" s="32">
        <f t="shared" si="199"/>
        <v>-3.0148844150617</v>
      </c>
      <c r="BE163" s="31">
        <f t="shared" si="200"/>
        <v>133.077228542967</v>
      </c>
      <c r="BF163" s="30" t="str">
        <f t="shared" si="201"/>
        <v>5,88574421128656+8,49867934945681i</v>
      </c>
      <c r="BG163" s="68">
        <f t="shared" si="202"/>
        <v>20.288539221969</v>
      </c>
      <c r="BH163" s="31">
        <f t="shared" si="203"/>
        <v>55.2955361708771</v>
      </c>
      <c r="BI163" s="30" t="str">
        <f t="shared" si="156"/>
        <v>44,6905622024153+87,6847472584028i</v>
      </c>
      <c r="BJ163" s="68">
        <f t="shared" si="204"/>
        <v>39.8613824356287</v>
      </c>
      <c r="BK163" s="31">
        <f t="shared" si="157"/>
        <v>62.9932815470672</v>
      </c>
      <c r="BL163" s="32">
        <f t="shared" si="205"/>
        <v>20.288539221969</v>
      </c>
      <c r="BM163" s="31">
        <f t="shared" si="206"/>
        <v>55.2955361708771</v>
      </c>
      <c r="BO163">
        <f t="shared" si="207"/>
        <v>0</v>
      </c>
      <c r="BP163">
        <f t="shared" si="208"/>
        <v>0</v>
      </c>
    </row>
    <row r="164" spans="14:68">
      <c r="N164" s="7">
        <v>46</v>
      </c>
      <c r="O164" s="18">
        <f t="shared" si="158"/>
        <v>288.403150312661</v>
      </c>
      <c r="P164" s="86" t="str">
        <f t="shared" si="159"/>
        <v>54,5454545454545</v>
      </c>
      <c r="Q164" s="4" t="str">
        <f t="shared" si="160"/>
        <v>1+3,69007507087178i</v>
      </c>
      <c r="R164" s="4">
        <f t="shared" si="171"/>
        <v>3.8231732930472</v>
      </c>
      <c r="S164" s="4">
        <f t="shared" si="172"/>
        <v>1.30615528524951</v>
      </c>
      <c r="T164" s="4" t="str">
        <f t="shared" si="161"/>
        <v>1+0,0284135780457127i</v>
      </c>
      <c r="U164" s="4">
        <f t="shared" si="173"/>
        <v>1.00040358426855</v>
      </c>
      <c r="V164" s="4">
        <f t="shared" si="174"/>
        <v>0.0284059353560694</v>
      </c>
      <c r="W164" t="str">
        <f t="shared" si="162"/>
        <v>1-0,081544069646497i</v>
      </c>
      <c r="X164" s="4">
        <f t="shared" si="175"/>
        <v>1.00331920907282</v>
      </c>
      <c r="Y164" s="4">
        <f t="shared" si="176"/>
        <v>-0.0813640466616602</v>
      </c>
      <c r="Z164" t="str">
        <f t="shared" si="163"/>
        <v>0,999999321009166+0,00563042385654384i</v>
      </c>
      <c r="AA164" s="4">
        <f t="shared" si="177"/>
        <v>1.00001517173071</v>
      </c>
      <c r="AB164" s="4">
        <f t="shared" si="178"/>
        <v>0.0056303681826115</v>
      </c>
      <c r="AC164" s="67" t="str">
        <f t="shared" si="179"/>
        <v>2,92983274628021-14,0170559504272i</v>
      </c>
      <c r="AD164" s="68">
        <f t="shared" si="180"/>
        <v>23.1188471744063</v>
      </c>
      <c r="AE164" s="31">
        <f t="shared" si="181"/>
        <v>-78.1940578362656</v>
      </c>
      <c r="AF164" s="32" t="str">
        <f t="shared" si="182"/>
        <v>432,040091031901</v>
      </c>
      <c r="AG164" s="32" t="str">
        <f t="shared" si="164"/>
        <v>1+3,00672783552515i</v>
      </c>
      <c r="AH164" s="32">
        <f t="shared" si="183"/>
        <v>3.16866095960451</v>
      </c>
      <c r="AI164" s="32">
        <f t="shared" si="184"/>
        <v>1.24971720067197</v>
      </c>
      <c r="AJ164" s="32" t="str">
        <f t="shared" si="165"/>
        <v>1+0,0284135780457127i</v>
      </c>
      <c r="AK164" s="32">
        <f t="shared" si="185"/>
        <v>1.00040358426855</v>
      </c>
      <c r="AL164" s="32">
        <f t="shared" si="186"/>
        <v>0.0284059353560694</v>
      </c>
      <c r="AM164" s="32" t="str">
        <f t="shared" si="166"/>
        <v>1-0,00838834874399773i</v>
      </c>
      <c r="AN164" s="32">
        <f t="shared" si="187"/>
        <v>1.00003518157845</v>
      </c>
      <c r="AO164" s="32">
        <f t="shared" si="188"/>
        <v>-0.00838815200527654</v>
      </c>
      <c r="AP164" s="30" t="str">
        <f t="shared" si="189"/>
        <v>45,631231569626-128,548992239241i</v>
      </c>
      <c r="AQ164" s="32">
        <f t="shared" si="190"/>
        <v>42.696775876729</v>
      </c>
      <c r="AR164" s="31">
        <f t="shared" si="191"/>
        <v>-70.4565866822001</v>
      </c>
      <c r="AS164" t="str">
        <f t="shared" si="167"/>
        <v>-0,000201496259351621</v>
      </c>
      <c r="AT164" t="str">
        <f t="shared" si="168"/>
        <v>0,000407176721101507i</v>
      </c>
      <c r="AU164">
        <f t="shared" si="192"/>
        <v>0.000407176721101507</v>
      </c>
      <c r="AV164">
        <f t="shared" si="193"/>
        <v>1.5707963267949</v>
      </c>
      <c r="AW164" t="str">
        <f t="shared" si="169"/>
        <v>1+0,0208467012842995i</v>
      </c>
      <c r="AX164">
        <f t="shared" si="194"/>
        <v>1.00021726887434</v>
      </c>
      <c r="AY164">
        <f t="shared" si="195"/>
        <v>0.0208436821839178</v>
      </c>
      <c r="AZ164" t="str">
        <f t="shared" si="170"/>
        <v>1+0,99664974012385i</v>
      </c>
      <c r="BA164">
        <f t="shared" si="196"/>
        <v>1.41184655840815</v>
      </c>
      <c r="BB164">
        <f t="shared" si="197"/>
        <v>0.783720224265397</v>
      </c>
      <c r="BC164" s="30" t="str">
        <f t="shared" si="198"/>
        <v>-0,482678013603949+0,504924177549626i</v>
      </c>
      <c r="BD164" s="32">
        <f t="shared" si="199"/>
        <v>-3.11645603078321</v>
      </c>
      <c r="BE164" s="31">
        <f t="shared" si="200"/>
        <v>133.709606150803</v>
      </c>
      <c r="BF164" s="30" t="str">
        <f t="shared" si="201"/>
        <v>5,66338459727021+8,24506811250111i</v>
      </c>
      <c r="BG164" s="68">
        <f t="shared" si="202"/>
        <v>20.0023911436231</v>
      </c>
      <c r="BH164" s="31">
        <f t="shared" si="203"/>
        <v>55.5155483145376</v>
      </c>
      <c r="BI164" s="30" t="str">
        <f t="shared" si="156"/>
        <v>42,8823019689031+85,0880842956962i</v>
      </c>
      <c r="BJ164" s="68">
        <f t="shared" si="204"/>
        <v>39.5803198459457</v>
      </c>
      <c r="BK164" s="31">
        <f t="shared" si="157"/>
        <v>63.2530194686031</v>
      </c>
      <c r="BL164" s="32">
        <f t="shared" si="205"/>
        <v>20.0023911436231</v>
      </c>
      <c r="BM164" s="31">
        <f t="shared" si="206"/>
        <v>55.5155483145376</v>
      </c>
      <c r="BO164">
        <f t="shared" si="207"/>
        <v>0</v>
      </c>
      <c r="BP164">
        <f t="shared" si="208"/>
        <v>0</v>
      </c>
    </row>
    <row r="165" spans="14:68">
      <c r="N165" s="7">
        <v>47</v>
      </c>
      <c r="O165" s="18">
        <f t="shared" si="158"/>
        <v>295.120922666639</v>
      </c>
      <c r="P165" s="86" t="str">
        <f t="shared" si="159"/>
        <v>54,5454545454545</v>
      </c>
      <c r="Q165" s="4" t="str">
        <f t="shared" si="160"/>
        <v>1+3,77602796101299i</v>
      </c>
      <c r="R165" s="4">
        <f t="shared" si="171"/>
        <v>3.9061985564423</v>
      </c>
      <c r="S165" s="4">
        <f t="shared" si="172"/>
        <v>1.31191080545777</v>
      </c>
      <c r="T165" s="4" t="str">
        <f t="shared" si="161"/>
        <v>1+0,0290754152998001i</v>
      </c>
      <c r="U165" s="4">
        <f t="shared" si="173"/>
        <v>1.0004226005918</v>
      </c>
      <c r="V165" s="4">
        <f t="shared" si="174"/>
        <v>0.0290672261971267</v>
      </c>
      <c r="W165" t="str">
        <f t="shared" si="162"/>
        <v>1-0,083443475031314i</v>
      </c>
      <c r="X165" s="4">
        <f t="shared" si="175"/>
        <v>1.00347536767242</v>
      </c>
      <c r="Y165" s="4">
        <f t="shared" si="176"/>
        <v>-0.0832506129910407</v>
      </c>
      <c r="Z165" t="str">
        <f t="shared" si="163"/>
        <v>0,999999289009314+0,00576157327597168i</v>
      </c>
      <c r="AA165" s="4">
        <f t="shared" si="177"/>
        <v>1.00001588674668</v>
      </c>
      <c r="AB165" s="4">
        <f t="shared" si="178"/>
        <v>0.00576151362032954</v>
      </c>
      <c r="AC165" s="67" t="str">
        <f t="shared" si="179"/>
        <v>2,77040036613313-13,7415635305572i</v>
      </c>
      <c r="AD165" s="68">
        <f t="shared" si="180"/>
        <v>22.9337512244392</v>
      </c>
      <c r="AE165" s="31">
        <f t="shared" si="181"/>
        <v>-78.6015420474069</v>
      </c>
      <c r="AF165" s="32" t="str">
        <f t="shared" si="182"/>
        <v>432,040091031901</v>
      </c>
      <c r="AG165" s="32" t="str">
        <f t="shared" si="164"/>
        <v>1+3,07676352378836i</v>
      </c>
      <c r="AH165" s="32">
        <f t="shared" si="183"/>
        <v>3.23519300526484</v>
      </c>
      <c r="AI165" s="32">
        <f t="shared" si="184"/>
        <v>1.25654918421453</v>
      </c>
      <c r="AJ165" s="32" t="str">
        <f t="shared" si="165"/>
        <v>1+0,0290754152998001i</v>
      </c>
      <c r="AK165" s="32">
        <f t="shared" si="185"/>
        <v>1.0004226005918</v>
      </c>
      <c r="AL165" s="32">
        <f t="shared" si="186"/>
        <v>0.0290672261971267</v>
      </c>
      <c r="AM165" s="32" t="str">
        <f t="shared" si="166"/>
        <v>1-0,00858373848653993i</v>
      </c>
      <c r="AN165" s="32">
        <f t="shared" si="187"/>
        <v>1.00003683960462</v>
      </c>
      <c r="AO165" s="32">
        <f t="shared" si="188"/>
        <v>-0.00858352767762151</v>
      </c>
      <c r="AP165" s="30" t="str">
        <f t="shared" si="189"/>
        <v>43,8913056995616-126,189942472058i</v>
      </c>
      <c r="AQ165" s="32">
        <f t="shared" si="190"/>
        <v>42.5164669451201</v>
      </c>
      <c r="AR165" s="31">
        <f t="shared" si="191"/>
        <v>-70.8213355321129</v>
      </c>
      <c r="AS165" t="str">
        <f t="shared" si="167"/>
        <v>-0,000201496259351621</v>
      </c>
      <c r="AT165" t="str">
        <f t="shared" si="168"/>
        <v>0,000416661085323027i</v>
      </c>
      <c r="AU165">
        <f t="shared" si="192"/>
        <v>0.000416661085323027</v>
      </c>
      <c r="AV165">
        <f t="shared" si="193"/>
        <v>1.5707963267949</v>
      </c>
      <c r="AW165" t="str">
        <f t="shared" si="169"/>
        <v>1+0,0213322833363939i</v>
      </c>
      <c r="AX165">
        <f t="shared" si="194"/>
        <v>1.00022750727639</v>
      </c>
      <c r="AY165">
        <f t="shared" si="195"/>
        <v>0.0213290483517902</v>
      </c>
      <c r="AZ165" t="str">
        <f t="shared" si="170"/>
        <v>1+1,01986469482717i</v>
      </c>
      <c r="BA165">
        <f t="shared" si="196"/>
        <v>1.42832909224552</v>
      </c>
      <c r="BB165">
        <f t="shared" si="197"/>
        <v>0.795232512437309</v>
      </c>
      <c r="BC165" s="30" t="str">
        <f t="shared" si="198"/>
        <v>-0,482668132199493+0,493893913694617i</v>
      </c>
      <c r="BD165" s="32">
        <f t="shared" si="199"/>
        <v>-3.21572929067667</v>
      </c>
      <c r="BE165" s="31">
        <f t="shared" si="200"/>
        <v>134.341402242654</v>
      </c>
      <c r="BF165" s="30" t="str">
        <f t="shared" si="201"/>
        <v>5,44969062222384+8,00089868212521i</v>
      </c>
      <c r="BG165" s="68">
        <f t="shared" si="202"/>
        <v>19.7180219337625</v>
      </c>
      <c r="BH165" s="31">
        <f t="shared" si="203"/>
        <v>55.7398601952476</v>
      </c>
      <c r="BI165" s="30" t="str">
        <f t="shared" si="156"/>
        <v>41,1395100146189+82,585512584473i</v>
      </c>
      <c r="BJ165" s="68">
        <f t="shared" si="204"/>
        <v>39.3007376544434</v>
      </c>
      <c r="BK165" s="31">
        <f t="shared" si="157"/>
        <v>63.5200667105416</v>
      </c>
      <c r="BL165" s="32">
        <f t="shared" si="205"/>
        <v>19.7180219337625</v>
      </c>
      <c r="BM165" s="31">
        <f t="shared" si="206"/>
        <v>55.7398601952476</v>
      </c>
      <c r="BO165">
        <f t="shared" si="207"/>
        <v>0</v>
      </c>
      <c r="BP165">
        <f t="shared" si="208"/>
        <v>0</v>
      </c>
    </row>
    <row r="166" spans="14:68">
      <c r="N166" s="7">
        <v>48</v>
      </c>
      <c r="O166" s="18">
        <f t="shared" si="158"/>
        <v>301.995172040202</v>
      </c>
      <c r="P166" s="86" t="str">
        <f t="shared" si="159"/>
        <v>54,5454545454545</v>
      </c>
      <c r="Q166" s="4" t="str">
        <f t="shared" si="160"/>
        <v>1+3,86398295116078i</v>
      </c>
      <c r="R166" s="4">
        <f t="shared" si="171"/>
        <v>3.99128603921858</v>
      </c>
      <c r="S166" s="4">
        <f t="shared" si="172"/>
        <v>1.31755231880255</v>
      </c>
      <c r="T166" s="4" t="str">
        <f t="shared" si="161"/>
        <v>1+0,029752668723938i</v>
      </c>
      <c r="U166" s="4">
        <f t="shared" si="173"/>
        <v>1.00044251273934</v>
      </c>
      <c r="V166" s="4">
        <f t="shared" si="174"/>
        <v>0.0297438941519385</v>
      </c>
      <c r="W166" t="str">
        <f t="shared" si="162"/>
        <v>1-0,0853871232510977i</v>
      </c>
      <c r="X166" s="4">
        <f t="shared" si="175"/>
        <v>1.00363885975838</v>
      </c>
      <c r="Y166" s="4">
        <f t="shared" si="176"/>
        <v>-0.0851805082970378</v>
      </c>
      <c r="Z166" t="str">
        <f t="shared" si="163"/>
        <v>0,999999255501356+0,00589577755781389i</v>
      </c>
      <c r="AA166" s="4">
        <f t="shared" si="177"/>
        <v>1.00001663545977</v>
      </c>
      <c r="AB166" s="4">
        <f t="shared" si="178"/>
        <v>0.00589571363569907</v>
      </c>
      <c r="AC166" s="67" t="str">
        <f t="shared" si="179"/>
        <v>2,6172208446438-13,4697942455322i</v>
      </c>
      <c r="AD166" s="68">
        <f t="shared" si="180"/>
        <v>22.7481618854143</v>
      </c>
      <c r="AE166" s="31">
        <f t="shared" si="181"/>
        <v>-79.004270684614</v>
      </c>
      <c r="AF166" s="32" t="str">
        <f t="shared" si="182"/>
        <v>432,040091031901</v>
      </c>
      <c r="AG166" s="32" t="str">
        <f t="shared" si="164"/>
        <v>1+3,14843055279767i</v>
      </c>
      <c r="AH166" s="32">
        <f t="shared" si="183"/>
        <v>3.3034247298508</v>
      </c>
      <c r="AI166" s="32">
        <f t="shared" si="184"/>
        <v>1.26325509923135</v>
      </c>
      <c r="AJ166" s="32" t="str">
        <f t="shared" si="165"/>
        <v>1+0,029752668723938i</v>
      </c>
      <c r="AK166" s="32">
        <f t="shared" si="185"/>
        <v>1.00044251273934</v>
      </c>
      <c r="AL166" s="32">
        <f t="shared" si="186"/>
        <v>0.0297438941519385</v>
      </c>
      <c r="AM166" s="32" t="str">
        <f t="shared" si="166"/>
        <v>1-0,00878367944084692i</v>
      </c>
      <c r="AN166" s="32">
        <f t="shared" si="187"/>
        <v>1.00003857576821</v>
      </c>
      <c r="AO166" s="32">
        <f t="shared" si="188"/>
        <v>-0.00878345355549171</v>
      </c>
      <c r="AP166" s="30" t="str">
        <f t="shared" si="189"/>
        <v>42,2149990790763-123,851548848176i</v>
      </c>
      <c r="AQ166" s="32">
        <f t="shared" si="190"/>
        <v>42.3353704903969</v>
      </c>
      <c r="AR166" s="31">
        <f t="shared" si="191"/>
        <v>-71.1782408514255</v>
      </c>
      <c r="AS166" t="str">
        <f t="shared" si="167"/>
        <v>-0,000201496259351621</v>
      </c>
      <c r="AT166" t="str">
        <f t="shared" si="168"/>
        <v>0,000426366368767147i</v>
      </c>
      <c r="AU166">
        <f t="shared" si="192"/>
        <v>0.000426366368767147</v>
      </c>
      <c r="AV166">
        <f t="shared" si="193"/>
        <v>1.5707963267949</v>
      </c>
      <c r="AW166" t="str">
        <f t="shared" si="169"/>
        <v>1+0,0218291760474794i</v>
      </c>
      <c r="AX166">
        <f t="shared" si="194"/>
        <v>1.00023822808715</v>
      </c>
      <c r="AY166">
        <f t="shared" si="195"/>
        <v>0.0218257097436118</v>
      </c>
      <c r="AZ166" t="str">
        <f t="shared" si="170"/>
        <v>1+1,04362039529119i</v>
      </c>
      <c r="BA166">
        <f t="shared" si="196"/>
        <v>1.44538698259938</v>
      </c>
      <c r="BB166">
        <f t="shared" si="197"/>
        <v>0.806739589032965</v>
      </c>
      <c r="BC166" s="30" t="str">
        <f t="shared" si="198"/>
        <v>-0,482657785532417+0,483125499065577i</v>
      </c>
      <c r="BD166" s="32">
        <f t="shared" si="199"/>
        <v>-3.31270524750117</v>
      </c>
      <c r="BE166" s="31">
        <f t="shared" si="200"/>
        <v>134.972252564521</v>
      </c>
      <c r="BF166" s="30" t="str">
        <f t="shared" si="201"/>
        <v>5,24437905005832+7,76574718885923i</v>
      </c>
      <c r="BG166" s="68">
        <f t="shared" si="202"/>
        <v>19.4354566379131</v>
      </c>
      <c r="BH166" s="31">
        <f t="shared" si="203"/>
        <v>55.9679818799069</v>
      </c>
      <c r="BI166" s="30" t="str">
        <f t="shared" si="156"/>
        <v>39,4604433755597+80,1730567999522i</v>
      </c>
      <c r="BJ166" s="68">
        <f t="shared" si="204"/>
        <v>39.0226652428957</v>
      </c>
      <c r="BK166" s="31">
        <f t="shared" si="157"/>
        <v>63.7940117130953</v>
      </c>
      <c r="BL166" s="32">
        <f t="shared" si="205"/>
        <v>19.4354566379131</v>
      </c>
      <c r="BM166" s="31">
        <f t="shared" si="206"/>
        <v>55.9679818799069</v>
      </c>
      <c r="BO166">
        <f t="shared" si="207"/>
        <v>0</v>
      </c>
      <c r="BP166">
        <f t="shared" si="208"/>
        <v>0</v>
      </c>
    </row>
    <row r="167" spans="14:68">
      <c r="N167" s="7">
        <v>49</v>
      </c>
      <c r="O167" s="18">
        <f t="shared" si="158"/>
        <v>309.029543251359</v>
      </c>
      <c r="P167" s="86" t="str">
        <f t="shared" si="159"/>
        <v>54,5454545454545</v>
      </c>
      <c r="Q167" s="4" t="str">
        <f t="shared" si="160"/>
        <v>1+3,95398667621513i</v>
      </c>
      <c r="R167" s="4">
        <f t="shared" si="171"/>
        <v>4.07848141293874</v>
      </c>
      <c r="S167" s="4">
        <f t="shared" si="172"/>
        <v>1.32308137948763</v>
      </c>
      <c r="T167" s="4" t="str">
        <f t="shared" si="161"/>
        <v>1+0,0304456974068565i</v>
      </c>
      <c r="U167" s="4">
        <f t="shared" si="173"/>
        <v>1.00046336289271</v>
      </c>
      <c r="V167" s="4">
        <f t="shared" si="174"/>
        <v>0.0304362955187337</v>
      </c>
      <c r="W167" t="str">
        <f t="shared" si="162"/>
        <v>1-0,0873760448538613i</v>
      </c>
      <c r="X167" s="4">
        <f t="shared" si="175"/>
        <v>1.00381002844876</v>
      </c>
      <c r="Y167" s="4">
        <f t="shared" si="176"/>
        <v>-0.087154698300627</v>
      </c>
      <c r="Z167" t="str">
        <f t="shared" si="163"/>
        <v>0,999999220414216+0,00603310785895709i</v>
      </c>
      <c r="AA167" s="4">
        <f t="shared" si="177"/>
        <v>1.00001741945802</v>
      </c>
      <c r="AB167" s="4">
        <f t="shared" si="178"/>
        <v>0.00603303936524143</v>
      </c>
      <c r="AC167" s="67" t="str">
        <f t="shared" si="179"/>
        <v>2,47008636413471-13,2018121874609i</v>
      </c>
      <c r="AD167" s="68">
        <f t="shared" si="180"/>
        <v>22.5621046435292</v>
      </c>
      <c r="AE167" s="31">
        <f t="shared" si="181"/>
        <v>-79.4023717903781</v>
      </c>
      <c r="AF167" s="32" t="str">
        <f t="shared" si="182"/>
        <v>432,040091031901</v>
      </c>
      <c r="AG167" s="32" t="str">
        <f t="shared" si="164"/>
        <v>1+3,22176692136048i</v>
      </c>
      <c r="AH167" s="32">
        <f t="shared" si="183"/>
        <v>3.37339326132791</v>
      </c>
      <c r="AI167" s="32">
        <f t="shared" si="184"/>
        <v>1.26983608796196</v>
      </c>
      <c r="AJ167" s="32" t="str">
        <f t="shared" si="165"/>
        <v>1+0,0304456974068565i</v>
      </c>
      <c r="AK167" s="32">
        <f t="shared" si="185"/>
        <v>1.00046336289271</v>
      </c>
      <c r="AL167" s="32">
        <f t="shared" si="186"/>
        <v>0.0304362955187337</v>
      </c>
      <c r="AM167" s="32" t="str">
        <f t="shared" si="166"/>
        <v>1-0,00898827761825918i</v>
      </c>
      <c r="AN167" s="32">
        <f t="shared" si="187"/>
        <v>1.00004039375144</v>
      </c>
      <c r="AO167" s="32">
        <f t="shared" si="188"/>
        <v>-0.00898803557826832</v>
      </c>
      <c r="AP167" s="30" t="str">
        <f t="shared" si="189"/>
        <v>40,6005665334221-121,535096647099i</v>
      </c>
      <c r="AQ167" s="32">
        <f t="shared" si="190"/>
        <v>42.153516152595</v>
      </c>
      <c r="AR167" s="31">
        <f t="shared" si="191"/>
        <v>-71.5273537411353</v>
      </c>
      <c r="AS167" t="str">
        <f t="shared" si="167"/>
        <v>-0,000201496259351621</v>
      </c>
      <c r="AT167" t="str">
        <f t="shared" si="168"/>
        <v>0,000436297717303613i</v>
      </c>
      <c r="AU167">
        <f t="shared" si="192"/>
        <v>0.000436297717303613</v>
      </c>
      <c r="AV167">
        <f t="shared" si="193"/>
        <v>1.5707963267949</v>
      </c>
      <c r="AW167" t="str">
        <f t="shared" si="169"/>
        <v>1+0,0223376428766485i</v>
      </c>
      <c r="AX167">
        <f t="shared" si="194"/>
        <v>1.00024945403099</v>
      </c>
      <c r="AY167">
        <f t="shared" si="195"/>
        <v>0.0223339287151628</v>
      </c>
      <c r="AZ167" t="str">
        <f t="shared" si="170"/>
        <v>1+1,06792943710275i</v>
      </c>
      <c r="BA167">
        <f t="shared" si="196"/>
        <v>1.46303563956269</v>
      </c>
      <c r="BB167">
        <f t="shared" si="197"/>
        <v>0.818235366850441</v>
      </c>
      <c r="BC167" s="30" t="str">
        <f t="shared" si="198"/>
        <v>-0,482646951717379+0,472613222687206i</v>
      </c>
      <c r="BD167" s="32">
        <f t="shared" si="199"/>
        <v>-3.40738739899374</v>
      </c>
      <c r="BE167" s="31">
        <f t="shared" si="200"/>
        <v>135.601793313544</v>
      </c>
      <c r="BF167" s="30" t="str">
        <f t="shared" si="201"/>
        <v>5,04717134909885+7,53920988629278i</v>
      </c>
      <c r="BG167" s="68">
        <f t="shared" si="202"/>
        <v>19.1547172445355</v>
      </c>
      <c r="BH167" s="31">
        <f t="shared" si="203"/>
        <v>56.1994215231659</v>
      </c>
      <c r="BI167" s="30" t="str">
        <f t="shared" si="156"/>
        <v>37,8433540206317+77,8469085156863i</v>
      </c>
      <c r="BJ167" s="68">
        <f t="shared" si="204"/>
        <v>38.7461287536013</v>
      </c>
      <c r="BK167" s="31">
        <f t="shared" si="157"/>
        <v>64.0744395724086</v>
      </c>
      <c r="BL167" s="32">
        <f t="shared" si="205"/>
        <v>19.1547172445355</v>
      </c>
      <c r="BM167" s="31">
        <f t="shared" si="206"/>
        <v>56.1994215231659</v>
      </c>
      <c r="BO167">
        <f t="shared" si="207"/>
        <v>0</v>
      </c>
      <c r="BP167">
        <f t="shared" si="208"/>
        <v>0</v>
      </c>
    </row>
    <row r="168" spans="14:68">
      <c r="N168" s="7">
        <v>50</v>
      </c>
      <c r="O168" s="18">
        <f t="shared" si="158"/>
        <v>316.227766016838</v>
      </c>
      <c r="P168" s="86" t="str">
        <f t="shared" si="159"/>
        <v>54,5454545454545</v>
      </c>
      <c r="Q168" s="4" t="str">
        <f t="shared" si="160"/>
        <v>1+4,04608685734241i</v>
      </c>
      <c r="R168" s="4">
        <f t="shared" si="171"/>
        <v>4.16783143339063</v>
      </c>
      <c r="S168" s="4">
        <f t="shared" si="172"/>
        <v>1.32849956631444</v>
      </c>
      <c r="T168" s="4" t="str">
        <f t="shared" si="161"/>
        <v>1+0,0311548688015366i</v>
      </c>
      <c r="U168" s="4">
        <f t="shared" si="173"/>
        <v>1.00048519521782</v>
      </c>
      <c r="V168" s="4">
        <f t="shared" si="174"/>
        <v>0.0311447947607563</v>
      </c>
      <c r="W168" t="str">
        <f t="shared" si="162"/>
        <v>1-0,089411294392165i</v>
      </c>
      <c r="X168" s="4">
        <f t="shared" si="175"/>
        <v>1.0039892327933</v>
      </c>
      <c r="Y168" s="4">
        <f t="shared" si="176"/>
        <v>-0.0891741681552388</v>
      </c>
      <c r="Z168" t="str">
        <f t="shared" si="163"/>
        <v>0,999999183673469+0,00617363699374472i</v>
      </c>
      <c r="AA168" s="4">
        <f t="shared" si="177"/>
        <v>1.00001824040431</v>
      </c>
      <c r="AB168" s="4">
        <f t="shared" si="178"/>
        <v>0.00617356360147837</v>
      </c>
      <c r="AC168" s="67" t="str">
        <f t="shared" si="179"/>
        <v>2,32879286953125-12,9376724740616i</v>
      </c>
      <c r="AD168" s="68">
        <f t="shared" si="180"/>
        <v>22.3756043924756</v>
      </c>
      <c r="AE168" s="31">
        <f t="shared" si="181"/>
        <v>-79.7959755569903</v>
      </c>
      <c r="AF168" s="32" t="str">
        <f t="shared" si="182"/>
        <v>432,040091031901</v>
      </c>
      <c r="AG168" s="32" t="str">
        <f t="shared" si="164"/>
        <v>1+3,29681151339011i</v>
      </c>
      <c r="AH168" s="32">
        <f t="shared" si="183"/>
        <v>3.44513659450849</v>
      </c>
      <c r="AI168" s="32">
        <f t="shared" si="184"/>
        <v>1.27629335876778</v>
      </c>
      <c r="AJ168" s="32" t="str">
        <f t="shared" si="165"/>
        <v>1+0,0311548688015366i</v>
      </c>
      <c r="AK168" s="32">
        <f t="shared" si="185"/>
        <v>1.00048519521782</v>
      </c>
      <c r="AL168" s="32">
        <f t="shared" si="186"/>
        <v>0.0311447947607563</v>
      </c>
      <c r="AM168" s="32" t="str">
        <f t="shared" si="166"/>
        <v>1-0,00919764149943855i</v>
      </c>
      <c r="AN168" s="32">
        <f t="shared" si="187"/>
        <v>1.00004229741004</v>
      </c>
      <c r="AO168" s="32">
        <f t="shared" si="188"/>
        <v>-0.00919738214950815</v>
      </c>
      <c r="AP168" s="30" t="str">
        <f t="shared" si="189"/>
        <v>39,0462629657225-119,241766817845i</v>
      </c>
      <c r="AQ168" s="32">
        <f t="shared" si="190"/>
        <v>41.9709327769441</v>
      </c>
      <c r="AR168" s="31">
        <f t="shared" si="191"/>
        <v>-71.8687287641134</v>
      </c>
      <c r="AS168" t="str">
        <f t="shared" si="167"/>
        <v>-0,000201496259351621</v>
      </c>
      <c r="AT168" t="str">
        <f t="shared" si="168"/>
        <v>0,000446460396664877i</v>
      </c>
      <c r="AU168">
        <f t="shared" si="192"/>
        <v>0.000446460396664877</v>
      </c>
      <c r="AV168">
        <f t="shared" si="193"/>
        <v>1.5707963267949</v>
      </c>
      <c r="AW168" t="str">
        <f t="shared" si="169"/>
        <v>1+0,0228579534197445i</v>
      </c>
      <c r="AX168">
        <f t="shared" si="194"/>
        <v>1.00026120890222</v>
      </c>
      <c r="AY168">
        <f t="shared" si="195"/>
        <v>0.0228539736801384</v>
      </c>
      <c r="AZ168" t="str">
        <f t="shared" si="170"/>
        <v>1+1,09280470923757i</v>
      </c>
      <c r="BA168">
        <f t="shared" si="196"/>
        <v>1.48129069818581</v>
      </c>
      <c r="BB168">
        <f t="shared" si="197"/>
        <v>0.829713788549334</v>
      </c>
      <c r="BC168" s="30" t="str">
        <f t="shared" si="198"/>
        <v>-0,482635607841628+0,462351509290749i</v>
      </c>
      <c r="BD168" s="32">
        <f t="shared" si="199"/>
        <v>-3.4997816743254</v>
      </c>
      <c r="BE168" s="31">
        <f t="shared" si="200"/>
        <v>136.229662050712</v>
      </c>
      <c r="BF168" s="30" t="str">
        <f t="shared" si="201"/>
        <v>4,85779403296829+7,32090231662793i</v>
      </c>
      <c r="BG168" s="68">
        <f t="shared" si="202"/>
        <v>18.8758227181502</v>
      </c>
      <c r="BH168" s="31">
        <f t="shared" si="203"/>
        <v>56.4336864937216</v>
      </c>
      <c r="BI168" s="30" t="str">
        <f t="shared" si="156"/>
        <v>36,2864939983207+75,6034212226056i</v>
      </c>
      <c r="BJ168" s="68">
        <f t="shared" si="204"/>
        <v>38.4711511026187</v>
      </c>
      <c r="BK168" s="31">
        <f t="shared" si="157"/>
        <v>64.3609332865984</v>
      </c>
      <c r="BL168" s="32">
        <f t="shared" si="205"/>
        <v>18.8758227181502</v>
      </c>
      <c r="BM168" s="31">
        <f t="shared" si="206"/>
        <v>56.4336864937216</v>
      </c>
      <c r="BO168">
        <f t="shared" si="207"/>
        <v>0</v>
      </c>
      <c r="BP168">
        <f t="shared" si="208"/>
        <v>0</v>
      </c>
    </row>
    <row r="169" spans="14:68">
      <c r="N169" s="7">
        <v>51</v>
      </c>
      <c r="O169" s="18">
        <f t="shared" si="158"/>
        <v>323.593656929628</v>
      </c>
      <c r="P169" s="86" t="str">
        <f t="shared" si="159"/>
        <v>54,5454545454545</v>
      </c>
      <c r="Q169" s="4" t="str">
        <f t="shared" si="160"/>
        <v>1+4,14033232727774i</v>
      </c>
      <c r="R169" s="4">
        <f t="shared" si="171"/>
        <v>4.2593839672306</v>
      </c>
      <c r="S169" s="4">
        <f t="shared" si="172"/>
        <v>1.33380847905045</v>
      </c>
      <c r="T169" s="4" t="str">
        <f t="shared" si="161"/>
        <v>1+0,0318805589200387i</v>
      </c>
      <c r="U169" s="4">
        <f t="shared" si="173"/>
        <v>1.0005080559581</v>
      </c>
      <c r="V169" s="4">
        <f t="shared" si="174"/>
        <v>0.0318697646868853</v>
      </c>
      <c r="W169" t="str">
        <f t="shared" si="162"/>
        <v>1-0,0914939509822539i</v>
      </c>
      <c r="X169" s="4">
        <f t="shared" si="175"/>
        <v>1.00417684850147</v>
      </c>
      <c r="Y169" s="4">
        <f t="shared" si="176"/>
        <v>-0.0912399226866527</v>
      </c>
      <c r="Z169" t="str">
        <f t="shared" si="163"/>
        <v>0,999999145201185+0,00631743947258419i</v>
      </c>
      <c r="AA169" s="4">
        <f t="shared" si="177"/>
        <v>1.00001910003989</v>
      </c>
      <c r="AB169" s="4">
        <f t="shared" si="178"/>
        <v>0.00631736083143502</v>
      </c>
      <c r="AC169" s="67" t="str">
        <f t="shared" si="179"/>
        <v>2,1931402876937-12,6774217361169i</v>
      </c>
      <c r="AD169" s="68">
        <f t="shared" si="180"/>
        <v>22.1886854541442</v>
      </c>
      <c r="AE169" s="31">
        <f t="shared" si="181"/>
        <v>-80.1852141240681</v>
      </c>
      <c r="AF169" s="32" t="str">
        <f t="shared" si="182"/>
        <v>432,040091031901</v>
      </c>
      <c r="AG169" s="32" t="str">
        <f t="shared" si="164"/>
        <v>1+3,3736041185226i</v>
      </c>
      <c r="AH169" s="32">
        <f t="shared" si="183"/>
        <v>3.51869361390171</v>
      </c>
      <c r="AI169" s="32">
        <f t="shared" si="184"/>
        <v>1.2826281806344</v>
      </c>
      <c r="AJ169" s="32" t="str">
        <f t="shared" si="165"/>
        <v>1+0,0318805589200387i</v>
      </c>
      <c r="AK169" s="32">
        <f t="shared" si="185"/>
        <v>1.0005080559581</v>
      </c>
      <c r="AL169" s="32">
        <f t="shared" si="186"/>
        <v>0.0318697646868853</v>
      </c>
      <c r="AM169" s="32" t="str">
        <f t="shared" si="166"/>
        <v>1-0,00941188209188611i</v>
      </c>
      <c r="AN169" s="32">
        <f t="shared" si="187"/>
        <v>1.00004429078142</v>
      </c>
      <c r="AO169" s="32">
        <f t="shared" si="188"/>
        <v>-0.0094116041940936</v>
      </c>
      <c r="AP169" s="30" t="str">
        <f t="shared" si="189"/>
        <v>37,5503480781226-116,97263974611i</v>
      </c>
      <c r="AQ169" s="32">
        <f t="shared" si="190"/>
        <v>41.7876484158939</v>
      </c>
      <c r="AR169" s="31">
        <f t="shared" si="191"/>
        <v>-72.20242362303</v>
      </c>
      <c r="AS169" t="str">
        <f t="shared" si="167"/>
        <v>-0,000201496259351621</v>
      </c>
      <c r="AT169" t="str">
        <f t="shared" si="168"/>
        <v>0,000456859795238054i</v>
      </c>
      <c r="AU169">
        <f t="shared" si="192"/>
        <v>0.000456859795238054</v>
      </c>
      <c r="AV169">
        <f t="shared" si="193"/>
        <v>1.5707963267949</v>
      </c>
      <c r="AW169" t="str">
        <f t="shared" si="169"/>
        <v>1+0,0233903835523044i</v>
      </c>
      <c r="AX169">
        <f t="shared" si="194"/>
        <v>1.00027351761542</v>
      </c>
      <c r="AY169">
        <f t="shared" si="195"/>
        <v>0.0233861192474618</v>
      </c>
      <c r="AZ169" t="str">
        <f t="shared" si="170"/>
        <v>1+1,11825940089421i</v>
      </c>
      <c r="BA169">
        <f t="shared" si="196"/>
        <v>1.50016801981921</v>
      </c>
      <c r="BB169">
        <f t="shared" si="197"/>
        <v>0.841168842522766</v>
      </c>
      <c r="BC169" s="30" t="str">
        <f t="shared" si="198"/>
        <v>-0,482623729917002+0,452334916350699i</v>
      </c>
      <c r="BD169" s="32">
        <f t="shared" si="199"/>
        <v>-3.58989641040238</v>
      </c>
      <c r="BE169" s="31">
        <f t="shared" si="200"/>
        <v>136.85549860239</v>
      </c>
      <c r="BF169" s="30" t="str">
        <f t="shared" si="201"/>
        <v>4,67597895467099+7,11045849259489i</v>
      </c>
      <c r="BG169" s="68">
        <f t="shared" si="202"/>
        <v>18.5987890437418</v>
      </c>
      <c r="BH169" s="31">
        <f t="shared" si="203"/>
        <v>56.6702844783218</v>
      </c>
      <c r="BI169" s="30" t="str">
        <f t="shared" si="156"/>
        <v>34,7881201657319+73,4391052493626i</v>
      </c>
      <c r="BJ169" s="68">
        <f t="shared" si="204"/>
        <v>38.1977520054915</v>
      </c>
      <c r="BK169" s="31">
        <f t="shared" si="157"/>
        <v>64.6530749793599</v>
      </c>
      <c r="BL169" s="32">
        <f t="shared" si="205"/>
        <v>18.5987890437418</v>
      </c>
      <c r="BM169" s="31">
        <f t="shared" si="206"/>
        <v>56.6702844783218</v>
      </c>
      <c r="BO169">
        <f t="shared" si="207"/>
        <v>0</v>
      </c>
      <c r="BP169">
        <f t="shared" si="208"/>
        <v>0</v>
      </c>
    </row>
    <row r="170" spans="14:68">
      <c r="N170" s="7">
        <v>52</v>
      </c>
      <c r="O170" s="18">
        <f t="shared" si="158"/>
        <v>331.131121482591</v>
      </c>
      <c r="P170" s="86" t="str">
        <f t="shared" si="159"/>
        <v>54,5454545454545</v>
      </c>
      <c r="Q170" s="4" t="str">
        <f t="shared" si="160"/>
        <v>1+4,23677305621677i</v>
      </c>
      <c r="R170" s="4">
        <f t="shared" si="171"/>
        <v>4.35318801912856</v>
      </c>
      <c r="S170" s="4">
        <f t="shared" si="172"/>
        <v>1.33900973499787</v>
      </c>
      <c r="T170" s="4" t="str">
        <f t="shared" si="161"/>
        <v>1+0,0326231525328692i</v>
      </c>
      <c r="U170" s="4">
        <f t="shared" si="173"/>
        <v>1.00053199353203</v>
      </c>
      <c r="V170" s="4">
        <f t="shared" si="174"/>
        <v>0.0326115866357828</v>
      </c>
      <c r="W170" t="str">
        <f t="shared" si="162"/>
        <v>1-0,093625118876219i</v>
      </c>
      <c r="X170" s="4">
        <f t="shared" si="175"/>
        <v>1.00437326870272</v>
      </c>
      <c r="Y170" s="4">
        <f t="shared" si="176"/>
        <v>-0.0933529866240104</v>
      </c>
      <c r="Z170" t="str">
        <f t="shared" si="163"/>
        <v>0,999999104915758+0,00646459154145322i</v>
      </c>
      <c r="AA170" s="4">
        <f t="shared" si="177"/>
        <v>1.00002000018805</v>
      </c>
      <c r="AB170" s="4">
        <f t="shared" si="178"/>
        <v>0.00646450727603468</v>
      </c>
      <c r="AC170" s="67" t="str">
        <f t="shared" si="179"/>
        <v>2,06293271413772-12,4210985941198i</v>
      </c>
      <c r="AD170" s="68">
        <f t="shared" si="180"/>
        <v>22.0013716003411</v>
      </c>
      <c r="AE170" s="31">
        <f t="shared" si="181"/>
        <v>-80.5702213868983</v>
      </c>
      <c r="AF170" s="32" t="str">
        <f t="shared" si="182"/>
        <v>432,040091031901</v>
      </c>
      <c r="AG170" s="32" t="str">
        <f t="shared" si="164"/>
        <v>1+3,45218545321367i</v>
      </c>
      <c r="AH170" s="32">
        <f t="shared" si="183"/>
        <v>3.59410411693652</v>
      </c>
      <c r="AI170" s="32">
        <f t="shared" si="184"/>
        <v>1.2888418778786</v>
      </c>
      <c r="AJ170" s="32" t="str">
        <f t="shared" si="165"/>
        <v>1+0,0326231525328692i</v>
      </c>
      <c r="AK170" s="32">
        <f t="shared" si="185"/>
        <v>1.00053199353203</v>
      </c>
      <c r="AL170" s="32">
        <f t="shared" si="186"/>
        <v>0.0326115866357828</v>
      </c>
      <c r="AM170" s="32" t="str">
        <f t="shared" si="166"/>
        <v>1-0,00963111298879977i</v>
      </c>
      <c r="AN170" s="32">
        <f t="shared" si="187"/>
        <v>1.00004637809324</v>
      </c>
      <c r="AO170" s="32">
        <f t="shared" si="188"/>
        <v>-0.00963081521669604</v>
      </c>
      <c r="AP170" s="30" t="str">
        <f t="shared" si="189"/>
        <v>36,1110906886745-114,728699117493i</v>
      </c>
      <c r="AQ170" s="32">
        <f t="shared" si="190"/>
        <v>41.6036903332875</v>
      </c>
      <c r="AR170" s="31">
        <f t="shared" si="191"/>
        <v>-72.5284988498905</v>
      </c>
      <c r="AS170" t="str">
        <f t="shared" si="167"/>
        <v>-0,000201496259351621</v>
      </c>
      <c r="AT170" t="str">
        <f t="shared" si="168"/>
        <v>0,000467501426921921i</v>
      </c>
      <c r="AU170">
        <f t="shared" si="192"/>
        <v>0.000467501426921921</v>
      </c>
      <c r="AV170">
        <f t="shared" si="193"/>
        <v>1.5707963267949</v>
      </c>
      <c r="AW170" t="str">
        <f t="shared" si="169"/>
        <v>1+0,0239352155758321i</v>
      </c>
      <c r="AX170">
        <f t="shared" si="194"/>
        <v>1.00028640625806</v>
      </c>
      <c r="AY170">
        <f t="shared" si="195"/>
        <v>0.0239306463615265</v>
      </c>
      <c r="AZ170" t="str">
        <f t="shared" si="170"/>
        <v>1+1,14430700848712i</v>
      </c>
      <c r="BA170">
        <f t="shared" si="196"/>
        <v>1.51968369395501</v>
      </c>
      <c r="BB170">
        <f t="shared" si="197"/>
        <v>0.852594578476312</v>
      </c>
      <c r="BC170" s="30" t="str">
        <f t="shared" si="198"/>
        <v>-0,482611292829643+0,442558131191339i</v>
      </c>
      <c r="BD170" s="32">
        <f t="shared" si="199"/>
        <v>-3.67774231823031</v>
      </c>
      <c r="BE170" s="31">
        <f t="shared" si="200"/>
        <v>137.478945944893</v>
      </c>
      <c r="BF170" s="30" t="str">
        <f t="shared" si="201"/>
        <v>4,50146355696646+6,90753009761488i</v>
      </c>
      <c r="BG170" s="68">
        <f t="shared" si="202"/>
        <v>18.3236292821108</v>
      </c>
      <c r="BH170" s="31">
        <f t="shared" si="203"/>
        <v>56.9087245579942</v>
      </c>
      <c r="BI170" s="30" t="str">
        <f t="shared" si="156"/>
        <v>33,3464985127014+71,3506226162172i</v>
      </c>
      <c r="BJ170" s="68">
        <f t="shared" si="204"/>
        <v>37.9259480150572</v>
      </c>
      <c r="BK170" s="31">
        <f t="shared" si="157"/>
        <v>64.9504470950021</v>
      </c>
      <c r="BL170" s="32">
        <f t="shared" si="205"/>
        <v>18.3236292821108</v>
      </c>
      <c r="BM170" s="31">
        <f t="shared" si="206"/>
        <v>56.9087245579942</v>
      </c>
      <c r="BO170">
        <f t="shared" si="207"/>
        <v>0</v>
      </c>
      <c r="BP170">
        <f t="shared" si="208"/>
        <v>0</v>
      </c>
    </row>
    <row r="171" spans="14:68">
      <c r="N171" s="7">
        <v>53</v>
      </c>
      <c r="O171" s="18">
        <f t="shared" si="158"/>
        <v>338.844156139203</v>
      </c>
      <c r="P171" s="86" t="str">
        <f t="shared" si="159"/>
        <v>54,5454545454545</v>
      </c>
      <c r="Q171" s="4" t="str">
        <f t="shared" si="160"/>
        <v>1+4,33546017831056i</v>
      </c>
      <c r="R171" s="4">
        <f t="shared" si="171"/>
        <v>4.44929375943156</v>
      </c>
      <c r="S171" s="4">
        <f t="shared" si="172"/>
        <v>1.34410496575787</v>
      </c>
      <c r="T171" s="4" t="str">
        <f t="shared" si="161"/>
        <v>1+0,0333830433729914i</v>
      </c>
      <c r="U171" s="4">
        <f t="shared" si="173"/>
        <v>1.00055705863526</v>
      </c>
      <c r="V171" s="4">
        <f t="shared" si="174"/>
        <v>0.0333706506636026</v>
      </c>
      <c r="W171" t="str">
        <f t="shared" si="162"/>
        <v>1-0,095805928047488i</v>
      </c>
      <c r="X171" s="4">
        <f t="shared" si="175"/>
        <v>1.00457890474021</v>
      </c>
      <c r="Y171" s="4">
        <f t="shared" si="176"/>
        <v>-0.0955144048207992</v>
      </c>
      <c r="Z171" t="str">
        <f t="shared" si="163"/>
        <v>0,999999062731738+0,00661517122232655i</v>
      </c>
      <c r="AA171" s="4">
        <f t="shared" si="177"/>
        <v>1.00002094275803</v>
      </c>
      <c r="AB171" s="4">
        <f t="shared" si="178"/>
        <v>0.00661508093040588</v>
      </c>
      <c r="AC171" s="67" t="str">
        <f t="shared" si="179"/>
        <v>1,93797856940593-12,1687341228697i</v>
      </c>
      <c r="AD171" s="68">
        <f t="shared" si="180"/>
        <v>21.8136860754122</v>
      </c>
      <c r="AE171" s="31">
        <f t="shared" si="181"/>
        <v>-80.9511328152575</v>
      </c>
      <c r="AF171" s="32" t="str">
        <f t="shared" si="182"/>
        <v>432,040091031901</v>
      </c>
      <c r="AG171" s="32" t="str">
        <f t="shared" si="164"/>
        <v>1+3,53259718232712i</v>
      </c>
      <c r="AH171" s="32">
        <f t="shared" si="183"/>
        <v>3.67140883756978</v>
      </c>
      <c r="AI171" s="32">
        <f t="shared" si="184"/>
        <v>1.29493582506459</v>
      </c>
      <c r="AJ171" s="32" t="str">
        <f t="shared" si="165"/>
        <v>1+0,0333830433729914i</v>
      </c>
      <c r="AK171" s="32">
        <f t="shared" si="185"/>
        <v>1.00055705863526</v>
      </c>
      <c r="AL171" s="32">
        <f t="shared" si="186"/>
        <v>0.0333706506636026</v>
      </c>
      <c r="AM171" s="32" t="str">
        <f t="shared" si="166"/>
        <v>1-0,00985545042930301i</v>
      </c>
      <c r="AN171" s="32">
        <f t="shared" si="187"/>
        <v>1.00004856377236</v>
      </c>
      <c r="AO171" s="32">
        <f t="shared" si="188"/>
        <v>-0.00985513136158213</v>
      </c>
      <c r="AP171" s="30" t="str">
        <f t="shared" si="189"/>
        <v>34,7267726582411-112,510835846664i</v>
      </c>
      <c r="AQ171" s="32">
        <f t="shared" si="190"/>
        <v>41.4190850104971</v>
      </c>
      <c r="AR171" s="31">
        <f t="shared" si="191"/>
        <v>-72.8470175074277</v>
      </c>
      <c r="AS171" t="str">
        <f t="shared" si="167"/>
        <v>-0,000201496259351621</v>
      </c>
      <c r="AT171" t="str">
        <f t="shared" si="168"/>
        <v>0,000478390934050456i</v>
      </c>
      <c r="AU171">
        <f t="shared" si="192"/>
        <v>0.000478390934050456</v>
      </c>
      <c r="AV171">
        <f t="shared" si="193"/>
        <v>1.5707963267949</v>
      </c>
      <c r="AW171" t="str">
        <f t="shared" si="169"/>
        <v>1+0,0244927383674783i</v>
      </c>
      <c r="AX171">
        <f t="shared" si="194"/>
        <v>1.00029990214572</v>
      </c>
      <c r="AY171">
        <f t="shared" si="195"/>
        <v>0.0244878424454152</v>
      </c>
      <c r="AZ171" t="str">
        <f t="shared" si="170"/>
        <v>1+1,17096134280263i</v>
      </c>
      <c r="BA171">
        <f t="shared" si="196"/>
        <v>1.53985404059545</v>
      </c>
      <c r="BB171">
        <f t="shared" si="197"/>
        <v>0.863985122616545</v>
      </c>
      <c r="BC171" s="30" t="str">
        <f t="shared" si="198"/>
        <v>-0,482598270287424+0,433015968161609i</v>
      </c>
      <c r="BD171" s="32">
        <f t="shared" si="199"/>
        <v>-3.76333243964396</v>
      </c>
      <c r="BE171" s="31">
        <f t="shared" si="200"/>
        <v>138.099651066517</v>
      </c>
      <c r="BF171" s="30" t="str">
        <f t="shared" si="201"/>
        <v>4,33399108206623+6,71178570579223i</v>
      </c>
      <c r="BG171" s="68">
        <f t="shared" si="202"/>
        <v>18.0503536357683</v>
      </c>
      <c r="BH171" s="31">
        <f t="shared" si="203"/>
        <v>57.1485182512598</v>
      </c>
      <c r="BI171" s="30" t="str">
        <f t="shared" si="156"/>
        <v>31,9599080952833+69,3347818519287i</v>
      </c>
      <c r="BJ171" s="68">
        <f t="shared" si="204"/>
        <v>37.6557525708531</v>
      </c>
      <c r="BK171" s="31">
        <f t="shared" si="157"/>
        <v>65.2526335590896</v>
      </c>
      <c r="BL171" s="32">
        <f t="shared" si="205"/>
        <v>18.0503536357683</v>
      </c>
      <c r="BM171" s="31">
        <f t="shared" si="206"/>
        <v>57.1485182512598</v>
      </c>
      <c r="BO171">
        <f t="shared" si="207"/>
        <v>0</v>
      </c>
      <c r="BP171">
        <f t="shared" si="208"/>
        <v>0</v>
      </c>
    </row>
    <row r="172" spans="14:68">
      <c r="N172" s="7">
        <v>54</v>
      </c>
      <c r="O172" s="18">
        <f t="shared" si="158"/>
        <v>346.736850452532</v>
      </c>
      <c r="P172" s="86" t="str">
        <f t="shared" si="159"/>
        <v>54,5454545454545</v>
      </c>
      <c r="Q172" s="4" t="str">
        <f t="shared" si="160"/>
        <v>1+4,43644601877745i</v>
      </c>
      <c r="R172" s="4">
        <f t="shared" si="171"/>
        <v>4.54775255236323</v>
      </c>
      <c r="S172" s="4">
        <f t="shared" si="172"/>
        <v>1.34909581418513</v>
      </c>
      <c r="T172" s="4" t="str">
        <f t="shared" si="161"/>
        <v>1+0,0341606343445864i</v>
      </c>
      <c r="U172" s="4">
        <f t="shared" si="173"/>
        <v>1.00058330434743</v>
      </c>
      <c r="V172" s="4">
        <f t="shared" si="174"/>
        <v>0.03414735573529</v>
      </c>
      <c r="W172" t="str">
        <f t="shared" si="162"/>
        <v>1-0,0980375347899482i</v>
      </c>
      <c r="X172" s="4">
        <f t="shared" si="175"/>
        <v>1.00479418699935</v>
      </c>
      <c r="Y172" s="4">
        <f t="shared" si="176"/>
        <v>-0.0977252424645609</v>
      </c>
      <c r="Z172" t="str">
        <f t="shared" si="163"/>
        <v>0,999999018559645+0,00676925835454404i</v>
      </c>
      <c r="AA172" s="4">
        <f t="shared" si="177"/>
        <v>1.000021929749</v>
      </c>
      <c r="AB172" s="4">
        <f t="shared" si="178"/>
        <v>0.00676916160512247</v>
      </c>
      <c r="AC172" s="67" t="str">
        <f t="shared" si="179"/>
        <v>1,81809072729672-11,9203523029891i</v>
      </c>
      <c r="AD172" s="68">
        <f t="shared" si="180"/>
        <v>21.6256516196794</v>
      </c>
      <c r="AE172" s="31">
        <f t="shared" si="181"/>
        <v>-81.328085282337</v>
      </c>
      <c r="AF172" s="32" t="str">
        <f t="shared" si="182"/>
        <v>432,040091031901</v>
      </c>
      <c r="AG172" s="32" t="str">
        <f t="shared" si="164"/>
        <v>1+3,61488194122607i</v>
      </c>
      <c r="AH172" s="32">
        <f t="shared" si="183"/>
        <v>3.75064947029209</v>
      </c>
      <c r="AI172" s="32">
        <f t="shared" si="184"/>
        <v>1.30091144213218</v>
      </c>
      <c r="AJ172" s="32" t="str">
        <f t="shared" si="165"/>
        <v>1+0,0341606343445864i</v>
      </c>
      <c r="AK172" s="32">
        <f t="shared" si="185"/>
        <v>1.00058330434743</v>
      </c>
      <c r="AL172" s="32">
        <f t="shared" si="186"/>
        <v>0.03414735573529</v>
      </c>
      <c r="AM172" s="32" t="str">
        <f t="shared" si="166"/>
        <v>1-0,0100850133600761i</v>
      </c>
      <c r="AN172" s="32">
        <f t="shared" si="187"/>
        <v>1.00005085245425</v>
      </c>
      <c r="AO172" s="32">
        <f t="shared" si="188"/>
        <v>-0.0100846714737924</v>
      </c>
      <c r="AP172" s="30" t="str">
        <f t="shared" si="189"/>
        <v>33,3956924429987-110,319852045139i</v>
      </c>
      <c r="AQ172" s="32">
        <f t="shared" si="190"/>
        <v>41.2338581543462</v>
      </c>
      <c r="AR172" s="31">
        <f t="shared" si="191"/>
        <v>-73.1580449025117</v>
      </c>
      <c r="AS172" t="str">
        <f t="shared" si="167"/>
        <v>-0,000201496259351621</v>
      </c>
      <c r="AT172" t="str">
        <f t="shared" si="168"/>
        <v>0,000489534090384475i</v>
      </c>
      <c r="AU172">
        <f t="shared" si="192"/>
        <v>0.000489534090384475</v>
      </c>
      <c r="AV172">
        <f t="shared" si="193"/>
        <v>1.5707963267949</v>
      </c>
      <c r="AW172" t="str">
        <f t="shared" si="169"/>
        <v>1+0,0250632475332064i</v>
      </c>
      <c r="AX172">
        <f t="shared" si="194"/>
        <v>1.00031403387982</v>
      </c>
      <c r="AY172">
        <f t="shared" si="195"/>
        <v>0.0250580015471436</v>
      </c>
      <c r="AZ172" t="str">
        <f t="shared" si="170"/>
        <v>1+1,19823653632159i</v>
      </c>
      <c r="BA172">
        <f t="shared" si="196"/>
        <v>1.56069561317252</v>
      </c>
      <c r="BB172">
        <f t="shared" si="197"/>
        <v>0.875334692356383</v>
      </c>
      <c r="BC172" s="30" t="str">
        <f t="shared" si="198"/>
        <v>-0,482584634764925+0,423703365876723i</v>
      </c>
      <c r="BD172" s="32">
        <f t="shared" si="199"/>
        <v>-3.84668209478944</v>
      </c>
      <c r="BE172" s="31">
        <f t="shared" si="200"/>
        <v>138.717265801719</v>
      </c>
      <c r="BF172" s="30" t="str">
        <f t="shared" si="201"/>
        <v>4,17331074361084+6,52291002303211i</v>
      </c>
      <c r="BG172" s="68">
        <f t="shared" si="202"/>
        <v>17.7789695248899</v>
      </c>
      <c r="BH172" s="31">
        <f t="shared" si="203"/>
        <v>57.3891805193825</v>
      </c>
      <c r="BI172" s="30" t="str">
        <f t="shared" si="156"/>
        <v>30,6266445942212+67,3885328004064i</v>
      </c>
      <c r="BJ172" s="68">
        <f t="shared" si="204"/>
        <v>37.3871760595568</v>
      </c>
      <c r="BK172" s="31">
        <f t="shared" si="157"/>
        <v>65.5592208992077</v>
      </c>
      <c r="BL172" s="32">
        <f t="shared" si="205"/>
        <v>17.7789695248899</v>
      </c>
      <c r="BM172" s="31">
        <f t="shared" si="206"/>
        <v>57.3891805193825</v>
      </c>
      <c r="BO172">
        <f t="shared" si="207"/>
        <v>0</v>
      </c>
      <c r="BP172">
        <f t="shared" si="208"/>
        <v>0</v>
      </c>
    </row>
    <row r="173" spans="14:68">
      <c r="N173" s="7">
        <v>55</v>
      </c>
      <c r="O173" s="18">
        <f t="shared" si="158"/>
        <v>354.813389233576</v>
      </c>
      <c r="P173" s="86" t="str">
        <f t="shared" si="159"/>
        <v>54,5454545454545</v>
      </c>
      <c r="Q173" s="4" t="str">
        <f t="shared" si="160"/>
        <v>1+4,53978412164683i</v>
      </c>
      <c r="R173" s="4">
        <f t="shared" si="171"/>
        <v>4.64861698477694</v>
      </c>
      <c r="S173" s="4">
        <f t="shared" si="172"/>
        <v>1.35398393152705</v>
      </c>
      <c r="T173" s="4" t="str">
        <f t="shared" si="161"/>
        <v>1+0,0349563377366807i</v>
      </c>
      <c r="U173" s="4">
        <f t="shared" si="173"/>
        <v>1.00061078624406</v>
      </c>
      <c r="V173" s="4">
        <f t="shared" si="174"/>
        <v>0.0349421099195054</v>
      </c>
      <c r="W173" t="str">
        <f t="shared" si="162"/>
        <v>1-0,100321122331035i</v>
      </c>
      <c r="X173" s="4">
        <f t="shared" si="175"/>
        <v>1.00501956577261</v>
      </c>
      <c r="Y173" s="4">
        <f t="shared" si="176"/>
        <v>-0.099986585274017</v>
      </c>
      <c r="Z173" t="str">
        <f t="shared" si="163"/>
        <v>0,999998972305786+0,00692693463714289i</v>
      </c>
      <c r="AA173" s="4">
        <f t="shared" si="177"/>
        <v>1.00002296325439</v>
      </c>
      <c r="AB173" s="4">
        <f t="shared" si="178"/>
        <v>0.00692683096839841</v>
      </c>
      <c r="AC173" s="67" t="str">
        <f t="shared" si="179"/>
        <v>1,70308661708874-11,6759704585231i</v>
      </c>
      <c r="AD173" s="68">
        <f t="shared" si="180"/>
        <v>21.4372904936</v>
      </c>
      <c r="AE173" s="31">
        <f t="shared" si="181"/>
        <v>-81.7012169033763</v>
      </c>
      <c r="AF173" s="32" t="str">
        <f t="shared" si="182"/>
        <v>432,040091031901</v>
      </c>
      <c r="AG173" s="32" t="str">
        <f t="shared" si="164"/>
        <v>1+3,6990833583789i</v>
      </c>
      <c r="AH173" s="32">
        <f t="shared" si="183"/>
        <v>3.83186869454522</v>
      </c>
      <c r="AI173" s="32">
        <f t="shared" si="184"/>
        <v>1.30677018973831</v>
      </c>
      <c r="AJ173" s="32" t="str">
        <f t="shared" si="165"/>
        <v>1+0,0349563377366807i</v>
      </c>
      <c r="AK173" s="32">
        <f t="shared" si="185"/>
        <v>1.00061078624406</v>
      </c>
      <c r="AL173" s="32">
        <f t="shared" si="186"/>
        <v>0.0349421099195054</v>
      </c>
      <c r="AM173" s="32" t="str">
        <f t="shared" si="166"/>
        <v>1-0,0103199234984237i</v>
      </c>
      <c r="AN173" s="32">
        <f t="shared" si="187"/>
        <v>1.00005324899278</v>
      </c>
      <c r="AO173" s="32">
        <f t="shared" si="188"/>
        <v>-0.0103195571617241</v>
      </c>
      <c r="AP173" s="30" t="str">
        <f t="shared" si="189"/>
        <v>32,1161682891032-108,156465002922i</v>
      </c>
      <c r="AQ173" s="32">
        <f t="shared" si="190"/>
        <v>41.0480347066498</v>
      </c>
      <c r="AR173" s="31">
        <f t="shared" si="191"/>
        <v>-73.4616483116558</v>
      </c>
      <c r="AS173" t="str">
        <f t="shared" si="167"/>
        <v>-0,000201496259351621</v>
      </c>
      <c r="AT173" t="str">
        <f t="shared" si="168"/>
        <v>0,000500936804172967i</v>
      </c>
      <c r="AU173">
        <f t="shared" si="192"/>
        <v>0.000500936804172967</v>
      </c>
      <c r="AV173">
        <f t="shared" si="193"/>
        <v>1.5707963267949</v>
      </c>
      <c r="AW173" t="str">
        <f t="shared" si="169"/>
        <v>1+0,0256470455645281i</v>
      </c>
      <c r="AX173">
        <f t="shared" si="194"/>
        <v>1.00032883140805</v>
      </c>
      <c r="AY173">
        <f t="shared" si="195"/>
        <v>0.0256414244889802</v>
      </c>
      <c r="AZ173" t="str">
        <f t="shared" si="170"/>
        <v>1+1,22614705071265i</v>
      </c>
      <c r="BA173">
        <f t="shared" si="196"/>
        <v>1.58222520204026</v>
      </c>
      <c r="BB173">
        <f t="shared" si="197"/>
        <v>0.886637610450136</v>
      </c>
      <c r="BC173" s="30" t="str">
        <f t="shared" si="198"/>
        <v>-0,482570357445879+0,414615384525034i</v>
      </c>
      <c r="BD173" s="32">
        <f t="shared" si="199"/>
        <v>-3.92780882082184</v>
      </c>
      <c r="BE173" s="31">
        <f t="shared" si="200"/>
        <v>139.331447632435</v>
      </c>
      <c r="BF173" s="30" t="str">
        <f t="shared" si="201"/>
        <v>4,01917786379369+6,3406031503207i</v>
      </c>
      <c r="BG173" s="68">
        <f t="shared" si="202"/>
        <v>17.5094816727781</v>
      </c>
      <c r="BH173" s="31">
        <f t="shared" si="203"/>
        <v>57.6302307290589</v>
      </c>
      <c r="BI173" s="30" t="str">
        <f t="shared" si="156"/>
        <v>29,3450235149904+65,5089614412i</v>
      </c>
      <c r="BJ173" s="68">
        <f t="shared" si="204"/>
        <v>37.120225885828</v>
      </c>
      <c r="BK173" s="31">
        <f t="shared" si="157"/>
        <v>65.8697993207793</v>
      </c>
      <c r="BL173" s="32">
        <f t="shared" si="205"/>
        <v>17.5094816727781</v>
      </c>
      <c r="BM173" s="31">
        <f t="shared" si="206"/>
        <v>57.6302307290589</v>
      </c>
      <c r="BO173">
        <f t="shared" si="207"/>
        <v>0</v>
      </c>
      <c r="BP173">
        <f t="shared" si="208"/>
        <v>0</v>
      </c>
    </row>
    <row r="174" spans="14:68">
      <c r="N174" s="7">
        <v>56</v>
      </c>
      <c r="O174" s="18">
        <f t="shared" si="158"/>
        <v>363.078054770102</v>
      </c>
      <c r="P174" s="86" t="str">
        <f t="shared" si="159"/>
        <v>54,5454545454545</v>
      </c>
      <c r="Q174" s="4" t="str">
        <f t="shared" si="160"/>
        <v>1+4,64552927814864i</v>
      </c>
      <c r="R174" s="4">
        <f t="shared" si="171"/>
        <v>4.7519408954801</v>
      </c>
      <c r="S174" s="4">
        <f t="shared" si="172"/>
        <v>1.35877097474175</v>
      </c>
      <c r="T174" s="4" t="str">
        <f t="shared" si="161"/>
        <v>1+0,0357705754417446i</v>
      </c>
      <c r="U174" s="4">
        <f t="shared" si="173"/>
        <v>1.00063956251361</v>
      </c>
      <c r="V174" s="4">
        <f t="shared" si="174"/>
        <v>0.0357553305871909</v>
      </c>
      <c r="W174" t="str">
        <f t="shared" si="162"/>
        <v>1-0,102657901459088i</v>
      </c>
      <c r="X174" s="4">
        <f t="shared" si="175"/>
        <v>1.00525551216195</v>
      </c>
      <c r="Y174" s="4">
        <f t="shared" si="176"/>
        <v>-0.102299539682165</v>
      </c>
      <c r="Z174" t="str">
        <f t="shared" si="163"/>
        <v>0,99999892387205+0,00708828367217514i</v>
      </c>
      <c r="AA174" s="4">
        <f t="shared" si="177"/>
        <v>1.00002404546625</v>
      </c>
      <c r="AB174" s="4">
        <f t="shared" si="178"/>
        <v>0.00708817258925827</v>
      </c>
      <c r="AC174" s="67" t="str">
        <f t="shared" si="179"/>
        <v>1,59278830182567-11,435599679968i</v>
      </c>
      <c r="AD174" s="68">
        <f t="shared" si="180"/>
        <v>21.2486245025726</v>
      </c>
      <c r="AE174" s="31">
        <f t="shared" si="181"/>
        <v>-82.0706668835822</v>
      </c>
      <c r="AF174" s="32" t="str">
        <f t="shared" si="182"/>
        <v>432,040091031901</v>
      </c>
      <c r="AG174" s="32" t="str">
        <f t="shared" si="164"/>
        <v>1+3,78524607849148i</v>
      </c>
      <c r="AH174" s="32">
        <f t="shared" si="183"/>
        <v>3.91511019956465</v>
      </c>
      <c r="AI174" s="32">
        <f t="shared" si="184"/>
        <v>1.31251356481205</v>
      </c>
      <c r="AJ174" s="32" t="str">
        <f t="shared" si="165"/>
        <v>1+0,0357705754417446i</v>
      </c>
      <c r="AK174" s="32">
        <f t="shared" si="185"/>
        <v>1.00063956251361</v>
      </c>
      <c r="AL174" s="32">
        <f t="shared" si="186"/>
        <v>0.0357553305871909</v>
      </c>
      <c r="AM174" s="32" t="str">
        <f t="shared" si="166"/>
        <v>1-0,0105603053968104i</v>
      </c>
      <c r="AN174" s="32">
        <f t="shared" si="187"/>
        <v>1.00005575847053</v>
      </c>
      <c r="AO174" s="32">
        <f t="shared" si="188"/>
        <v>-0.0105599128611465</v>
      </c>
      <c r="AP174" s="30" t="str">
        <f t="shared" si="189"/>
        <v>30,8865410868248-106,021311161917i</v>
      </c>
      <c r="AQ174" s="32">
        <f t="shared" si="190"/>
        <v>40.8616388552124</v>
      </c>
      <c r="AR174" s="31">
        <f t="shared" si="191"/>
        <v>-73.7578967186293</v>
      </c>
      <c r="AS174" t="str">
        <f t="shared" si="167"/>
        <v>-0,000201496259351621</v>
      </c>
      <c r="AT174" t="str">
        <f t="shared" si="168"/>
        <v>0,000512605121285714i</v>
      </c>
      <c r="AU174">
        <f t="shared" si="192"/>
        <v>0.000512605121285714</v>
      </c>
      <c r="AV174">
        <f t="shared" si="193"/>
        <v>1.5707963267949</v>
      </c>
      <c r="AW174" t="str">
        <f t="shared" si="169"/>
        <v>1+0,0262444419988867i</v>
      </c>
      <c r="AX174">
        <f t="shared" si="194"/>
        <v>1.00034432608769</v>
      </c>
      <c r="AY174">
        <f t="shared" si="195"/>
        <v>0.0262384190198861</v>
      </c>
      <c r="AZ174" t="str">
        <f t="shared" si="170"/>
        <v>1+1,25470768449997i</v>
      </c>
      <c r="BA174">
        <f t="shared" si="196"/>
        <v>1.60445983855729</v>
      </c>
      <c r="BB174">
        <f t="shared" si="197"/>
        <v>0.897888318477585</v>
      </c>
      <c r="BC174" s="30" t="str">
        <f t="shared" si="198"/>
        <v>-0,48255540816294+0,405747203238696i</v>
      </c>
      <c r="BD174" s="32">
        <f t="shared" si="199"/>
        <v>-4.00673230235135</v>
      </c>
      <c r="BE174" s="31">
        <f t="shared" si="200"/>
        <v>139.941860451929</v>
      </c>
      <c r="BF174" s="30" t="str">
        <f t="shared" si="201"/>
        <v>3,8713539783997+6,16457986997202i</v>
      </c>
      <c r="BG174" s="68">
        <f t="shared" si="202"/>
        <v>17.2418922002213</v>
      </c>
      <c r="BH174" s="31">
        <f t="shared" si="203"/>
        <v>57.8711935683465</v>
      </c>
      <c r="BI174" s="30" t="str">
        <f t="shared" si="156"/>
        <v>28,1133830467532+63,6932847454052i</v>
      </c>
      <c r="BJ174" s="68">
        <f t="shared" si="204"/>
        <v>36.8549065528611</v>
      </c>
      <c r="BK174" s="31">
        <f t="shared" si="157"/>
        <v>66.1839637332995</v>
      </c>
      <c r="BL174" s="32">
        <f t="shared" si="205"/>
        <v>17.2418922002213</v>
      </c>
      <c r="BM174" s="31">
        <f t="shared" si="206"/>
        <v>57.8711935683465</v>
      </c>
      <c r="BO174">
        <f t="shared" si="207"/>
        <v>0</v>
      </c>
      <c r="BP174">
        <f t="shared" si="208"/>
        <v>0</v>
      </c>
    </row>
    <row r="175" spans="14:68">
      <c r="N175" s="7">
        <v>57</v>
      </c>
      <c r="O175" s="18">
        <f t="shared" si="158"/>
        <v>371.535229097173</v>
      </c>
      <c r="P175" s="86" t="str">
        <f t="shared" si="159"/>
        <v>54,5454545454545</v>
      </c>
      <c r="Q175" s="4" t="str">
        <f t="shared" si="160"/>
        <v>1+4,75373755576457i</v>
      </c>
      <c r="R175" s="4">
        <f t="shared" si="171"/>
        <v>4.85777940514866</v>
      </c>
      <c r="S175" s="4">
        <f t="shared" si="172"/>
        <v>1.36345860398862</v>
      </c>
      <c r="T175" s="4" t="str">
        <f t="shared" si="161"/>
        <v>1+0,0366037791793872i</v>
      </c>
      <c r="U175" s="4">
        <f t="shared" si="173"/>
        <v>1.00066969408003</v>
      </c>
      <c r="V175" s="4">
        <f t="shared" si="174"/>
        <v>0.0365874446138073</v>
      </c>
      <c r="W175" t="str">
        <f t="shared" si="162"/>
        <v>1-0,105049111165333i</v>
      </c>
      <c r="X175" s="4">
        <f t="shared" si="175"/>
        <v>1.00550251902053</v>
      </c>
      <c r="Y175" s="4">
        <f t="shared" si="176"/>
        <v>-0.104665233003858</v>
      </c>
      <c r="Z175" t="str">
        <f t="shared" si="163"/>
        <v>0,999998873155702+0,00725339100903491i</v>
      </c>
      <c r="AA175" s="4">
        <f t="shared" si="177"/>
        <v>1.00002517867992</v>
      </c>
      <c r="AB175" s="4">
        <f t="shared" si="178"/>
        <v>0.00725327198170677</v>
      </c>
      <c r="AC175" s="67" t="str">
        <f t="shared" si="179"/>
        <v>1,48702253464141-11,1992452322276i</v>
      </c>
      <c r="AD175" s="68">
        <f t="shared" si="180"/>
        <v>21.0596750223122</v>
      </c>
      <c r="AE175" s="31">
        <f t="shared" si="181"/>
        <v>-82.4365753748938</v>
      </c>
      <c r="AF175" s="32" t="str">
        <f t="shared" si="182"/>
        <v>432,040091031901</v>
      </c>
      <c r="AG175" s="32" t="str">
        <f t="shared" si="164"/>
        <v>1+3,87341578617854i</v>
      </c>
      <c r="AH175" s="32">
        <f t="shared" si="183"/>
        <v>4.00041870966242</v>
      </c>
      <c r="AI175" s="32">
        <f t="shared" si="184"/>
        <v>1.31814309632214</v>
      </c>
      <c r="AJ175" s="32" t="str">
        <f t="shared" si="165"/>
        <v>1+0,0366037791793872i</v>
      </c>
      <c r="AK175" s="32">
        <f t="shared" si="185"/>
        <v>1.00066969408003</v>
      </c>
      <c r="AL175" s="32">
        <f t="shared" si="186"/>
        <v>0.0365874446138073</v>
      </c>
      <c r="AM175" s="32" t="str">
        <f t="shared" si="166"/>
        <v>1-0,0108062865089007i</v>
      </c>
      <c r="AN175" s="32">
        <f t="shared" si="187"/>
        <v>1.00005838620958</v>
      </c>
      <c r="AO175" s="32">
        <f t="shared" si="188"/>
        <v>-0.0108058659006851</v>
      </c>
      <c r="AP175" s="30" t="str">
        <f t="shared" si="189"/>
        <v>29,7051769019205-103,914950061373i</v>
      </c>
      <c r="AQ175" s="32">
        <f t="shared" si="190"/>
        <v>40.6746940461308</v>
      </c>
      <c r="AR175" s="31">
        <f t="shared" si="191"/>
        <v>-74.0468605641189</v>
      </c>
      <c r="AS175" t="str">
        <f t="shared" si="167"/>
        <v>-0,000201496259351621</v>
      </c>
      <c r="AT175" t="str">
        <f t="shared" si="168"/>
        <v>0,000524545228418897i</v>
      </c>
      <c r="AU175">
        <f t="shared" si="192"/>
        <v>0.000524545228418897</v>
      </c>
      <c r="AV175">
        <f t="shared" si="193"/>
        <v>1.5707963267949</v>
      </c>
      <c r="AW175" t="str">
        <f t="shared" si="169"/>
        <v>1+0,0268557535837795i</v>
      </c>
      <c r="AX175">
        <f t="shared" si="194"/>
        <v>1.00036055075185</v>
      </c>
      <c r="AY175">
        <f t="shared" si="195"/>
        <v>0.0268492999711267</v>
      </c>
      <c r="AZ175" t="str">
        <f t="shared" si="170"/>
        <v>1+1,28393358090963i</v>
      </c>
      <c r="BA175">
        <f t="shared" si="196"/>
        <v>1.62741679977424</v>
      </c>
      <c r="BB175">
        <f t="shared" si="197"/>
        <v>0.909081389603956</v>
      </c>
      <c r="BC175" s="30" t="str">
        <f t="shared" si="198"/>
        <v>-0,482539755334683+0,397094117526657i</v>
      </c>
      <c r="BD175" s="32">
        <f t="shared" si="199"/>
        <v>-4.08347429423303</v>
      </c>
      <c r="BE175" s="31">
        <f t="shared" si="200"/>
        <v>140.548175286969</v>
      </c>
      <c r="BF175" s="30" t="str">
        <f t="shared" si="201"/>
        <v>3,72960691241301+5,9945689554279i</v>
      </c>
      <c r="BG175" s="68">
        <f t="shared" si="202"/>
        <v>16.9762007280792</v>
      </c>
      <c r="BH175" s="31">
        <f t="shared" si="203"/>
        <v>58.1115999120747</v>
      </c>
      <c r="BI175" s="30" t="str">
        <f t="shared" si="156"/>
        <v>26,9300865980214+61,9388455860721i</v>
      </c>
      <c r="BJ175" s="68">
        <f t="shared" si="204"/>
        <v>36.5912197518978</v>
      </c>
      <c r="BK175" s="31">
        <f t="shared" si="157"/>
        <v>66.5013147228496</v>
      </c>
      <c r="BL175" s="32">
        <f t="shared" si="205"/>
        <v>16.9762007280792</v>
      </c>
      <c r="BM175" s="31">
        <f t="shared" si="206"/>
        <v>58.1115999120747</v>
      </c>
      <c r="BO175">
        <f t="shared" si="207"/>
        <v>0</v>
      </c>
      <c r="BP175">
        <f t="shared" si="208"/>
        <v>0</v>
      </c>
    </row>
    <row r="176" spans="14:68">
      <c r="N176" s="7">
        <v>58</v>
      </c>
      <c r="O176" s="18">
        <f t="shared" si="158"/>
        <v>380.189396320562</v>
      </c>
      <c r="P176" s="86" t="str">
        <f t="shared" si="159"/>
        <v>54,5454545454545</v>
      </c>
      <c r="Q176" s="4" t="str">
        <f t="shared" si="160"/>
        <v>1+4,86446632795572i</v>
      </c>
      <c r="R176" s="4">
        <f t="shared" si="171"/>
        <v>4.96618894684999</v>
      </c>
      <c r="S176" s="4">
        <f t="shared" si="172"/>
        <v>1.36804848028516</v>
      </c>
      <c r="T176" s="4" t="str">
        <f t="shared" si="161"/>
        <v>1+0,0374563907252591i</v>
      </c>
      <c r="U176" s="4">
        <f t="shared" si="173"/>
        <v>1.000701244731</v>
      </c>
      <c r="V176" s="4">
        <f t="shared" si="174"/>
        <v>0.0374388885852565</v>
      </c>
      <c r="W176" t="str">
        <f t="shared" si="162"/>
        <v>1-0,107496019300807i</v>
      </c>
      <c r="X176" s="4">
        <f t="shared" si="175"/>
        <v>1.00576110193501</v>
      </c>
      <c r="Y176" s="4">
        <f t="shared" si="176"/>
        <v>-0.107084813586209</v>
      </c>
      <c r="Z176" t="str">
        <f t="shared" si="163"/>
        <v>0,999998820049167+0,00742234418981765i</v>
      </c>
      <c r="AA176" s="4">
        <f t="shared" si="177"/>
        <v>1.00002636529893</v>
      </c>
      <c r="AB176" s="4">
        <f t="shared" si="178"/>
        <v>0.00742221664991921</v>
      </c>
      <c r="AC176" s="67" t="str">
        <f t="shared" si="179"/>
        <v>1,38562079502012-10,9669069471479i</v>
      </c>
      <c r="AD176" s="68">
        <f t="shared" si="180"/>
        <v>20.8704630247327</v>
      </c>
      <c r="AE176" s="31">
        <f t="shared" si="181"/>
        <v>-82.7990833411372</v>
      </c>
      <c r="AF176" s="32" t="str">
        <f t="shared" si="182"/>
        <v>432,040091031901</v>
      </c>
      <c r="AG176" s="32" t="str">
        <f t="shared" si="164"/>
        <v>1+3,96363923018614i</v>
      </c>
      <c r="AH176" s="32">
        <f t="shared" si="183"/>
        <v>4.08784000996499</v>
      </c>
      <c r="AI176" s="32">
        <f t="shared" si="184"/>
        <v>1.32366034125507</v>
      </c>
      <c r="AJ176" s="32" t="str">
        <f t="shared" si="165"/>
        <v>1+0,0374563907252591i</v>
      </c>
      <c r="AK176" s="32">
        <f t="shared" si="185"/>
        <v>1.000701244731</v>
      </c>
      <c r="AL176" s="32">
        <f t="shared" si="186"/>
        <v>0.0374388885852565</v>
      </c>
      <c r="AM176" s="32" t="str">
        <f t="shared" si="166"/>
        <v>1-0,0110579972571362i</v>
      </c>
      <c r="AN176" s="32">
        <f t="shared" si="187"/>
        <v>1.00006113778276</v>
      </c>
      <c r="AO176" s="32">
        <f t="shared" si="188"/>
        <v>-0.0110575465688013</v>
      </c>
      <c r="AP176" s="30" t="str">
        <f t="shared" si="189"/>
        <v>28,5704692023017-101,837868238004i</v>
      </c>
      <c r="AQ176" s="32">
        <f t="shared" si="190"/>
        <v>40.4872229972573</v>
      </c>
      <c r="AR176" s="31">
        <f t="shared" si="191"/>
        <v>-74.3286115073277</v>
      </c>
      <c r="AS176" t="str">
        <f t="shared" si="167"/>
        <v>-0,000201496259351621</v>
      </c>
      <c r="AT176" t="str">
        <f t="shared" si="168"/>
        <v>0,000536763456375365i</v>
      </c>
      <c r="AU176">
        <f t="shared" si="192"/>
        <v>0.000536763456375365</v>
      </c>
      <c r="AV176">
        <f t="shared" si="193"/>
        <v>1.5707963267949</v>
      </c>
      <c r="AW176" t="str">
        <f t="shared" si="169"/>
        <v>1+0,0274813044447003i</v>
      </c>
      <c r="AX176">
        <f t="shared" si="194"/>
        <v>1.00037753977885</v>
      </c>
      <c r="AY176">
        <f t="shared" si="195"/>
        <v>0.0274743894150971</v>
      </c>
      <c r="AZ176" t="str">
        <f t="shared" si="170"/>
        <v>1+1,31384023589876i</v>
      </c>
      <c r="BA176">
        <f t="shared" si="196"/>
        <v>1.65111361373665</v>
      </c>
      <c r="BB176">
        <f t="shared" si="197"/>
        <v>0.920211540550574</v>
      </c>
      <c r="BC176" s="30" t="str">
        <f t="shared" si="198"/>
        <v>-0,48252336589971+0,388651536768583i</v>
      </c>
      <c r="BD176" s="32">
        <f t="shared" si="199"/>
        <v>-4.15805853734919</v>
      </c>
      <c r="BE176" s="31">
        <f t="shared" si="200"/>
        <v>141.150070974596</v>
      </c>
      <c r="BF176" s="30" t="str">
        <f t="shared" si="201"/>
        <v>3,59371082873334+5,83031250500979i</v>
      </c>
      <c r="BG176" s="68">
        <f t="shared" si="202"/>
        <v>16.7124044873835</v>
      </c>
      <c r="BH176" s="31">
        <f t="shared" si="203"/>
        <v>58.3509876334584</v>
      </c>
      <c r="BI176" s="30" t="str">
        <f t="shared" si="156"/>
        <v>25,7935250271081+60,2431077199269i</v>
      </c>
      <c r="BJ176" s="68">
        <f t="shared" si="204"/>
        <v>36.3291644599081</v>
      </c>
      <c r="BK176" s="31">
        <f t="shared" si="157"/>
        <v>66.8214594672679</v>
      </c>
      <c r="BL176" s="32">
        <f t="shared" si="205"/>
        <v>16.7124044873835</v>
      </c>
      <c r="BM176" s="31">
        <f t="shared" si="206"/>
        <v>58.3509876334584</v>
      </c>
      <c r="BO176">
        <f t="shared" si="207"/>
        <v>0</v>
      </c>
      <c r="BP176">
        <f t="shared" si="208"/>
        <v>0</v>
      </c>
    </row>
    <row r="177" spans="14:68">
      <c r="N177" s="7">
        <v>59</v>
      </c>
      <c r="O177" s="18">
        <f t="shared" si="158"/>
        <v>389.045144994281</v>
      </c>
      <c r="P177" s="86" t="str">
        <f t="shared" si="159"/>
        <v>54,5454545454545</v>
      </c>
      <c r="Q177" s="4" t="str">
        <f t="shared" si="160"/>
        <v>1+4,97777430458278i</v>
      </c>
      <c r="R177" s="4">
        <f t="shared" si="171"/>
        <v>5.07722729719328</v>
      </c>
      <c r="S177" s="4">
        <f t="shared" si="172"/>
        <v>1.3725422633236</v>
      </c>
      <c r="T177" s="4" t="str">
        <f t="shared" si="161"/>
        <v>1+0,0383288621452875i</v>
      </c>
      <c r="U177" s="4">
        <f t="shared" si="173"/>
        <v>1.0007342812522</v>
      </c>
      <c r="V177" s="4">
        <f t="shared" si="174"/>
        <v>0.0383101090075021</v>
      </c>
      <c r="W177" t="str">
        <f t="shared" si="162"/>
        <v>1-0,109999923248593i</v>
      </c>
      <c r="X177" s="4">
        <f t="shared" si="175"/>
        <v>1.00603180025022</v>
      </c>
      <c r="Y177" s="4">
        <f t="shared" si="176"/>
        <v>-0.109559450940126</v>
      </c>
      <c r="Z177" t="str">
        <f t="shared" si="163"/>
        <v>0,999998764439797+0,00759523279573618i</v>
      </c>
      <c r="AA177" s="4">
        <f t="shared" si="177"/>
        <v>1.00002760784007</v>
      </c>
      <c r="AB177" s="4">
        <f t="shared" si="178"/>
        <v>0.00759509613447648</v>
      </c>
      <c r="AC177" s="67" t="str">
        <f t="shared" si="179"/>
        <v>1,28841930679321-10,7385796004047i</v>
      </c>
      <c r="AD177" s="68">
        <f t="shared" si="180"/>
        <v>20.6810091042758</v>
      </c>
      <c r="AE177" s="31">
        <f t="shared" si="181"/>
        <v>-83.1583324311012</v>
      </c>
      <c r="AF177" s="32" t="str">
        <f t="shared" si="182"/>
        <v>432,040091031901</v>
      </c>
      <c r="AG177" s="32" t="str">
        <f t="shared" si="164"/>
        <v>1+4,05596424817857i</v>
      </c>
      <c r="AH177" s="32">
        <f t="shared" si="183"/>
        <v>4.17742097262207</v>
      </c>
      <c r="AI177" s="32">
        <f t="shared" si="184"/>
        <v>1.32906688080077</v>
      </c>
      <c r="AJ177" s="32" t="str">
        <f t="shared" si="165"/>
        <v>1+0,0383288621452875i</v>
      </c>
      <c r="AK177" s="32">
        <f t="shared" si="185"/>
        <v>1.0007342812522</v>
      </c>
      <c r="AL177" s="32">
        <f t="shared" si="186"/>
        <v>0.0383101090075021</v>
      </c>
      <c r="AM177" s="32" t="str">
        <f t="shared" si="166"/>
        <v>1-0,0113155711018872i</v>
      </c>
      <c r="AN177" s="32">
        <f t="shared" si="187"/>
        <v>1.00006401902546</v>
      </c>
      <c r="AO177" s="32">
        <f t="shared" si="188"/>
        <v>-0.0113150881823054</v>
      </c>
      <c r="AP177" s="30" t="str">
        <f t="shared" si="189"/>
        <v>27,4808407981234-99,7904830656136i</v>
      </c>
      <c r="AQ177" s="32">
        <f t="shared" si="190"/>
        <v>40.2992477126899</v>
      </c>
      <c r="AR177" s="31">
        <f t="shared" si="191"/>
        <v>-74.6032221993495</v>
      </c>
      <c r="AS177" t="str">
        <f t="shared" si="167"/>
        <v>-0,000201496259351621</v>
      </c>
      <c r="AT177" t="str">
        <f t="shared" si="168"/>
        <v>0,000549266283421307i</v>
      </c>
      <c r="AU177">
        <f t="shared" si="192"/>
        <v>0.000549266283421307</v>
      </c>
      <c r="AV177">
        <f t="shared" si="193"/>
        <v>1.5707963267949</v>
      </c>
      <c r="AW177" t="str">
        <f t="shared" si="169"/>
        <v>1+0,0281214262569958i</v>
      </c>
      <c r="AX177">
        <f t="shared" si="194"/>
        <v>1.00039532916479</v>
      </c>
      <c r="AY177">
        <f t="shared" si="195"/>
        <v>0.0281140168274123</v>
      </c>
      <c r="AZ177" t="str">
        <f t="shared" si="170"/>
        <v>1+1,34444350637169i</v>
      </c>
      <c r="BA177">
        <f t="shared" si="196"/>
        <v>1.67556806541095</v>
      </c>
      <c r="BB177">
        <f t="shared" si="197"/>
        <v>0.931273642719585</v>
      </c>
      <c r="BC177" s="30" t="str">
        <f t="shared" si="198"/>
        <v>-0,482506205247691+0,380414981768333i</v>
      </c>
      <c r="BD177" s="32">
        <f t="shared" si="199"/>
        <v>-4.2305106680783</v>
      </c>
      <c r="BE177" s="31">
        <f t="shared" si="200"/>
        <v>141.747234790236</v>
      </c>
      <c r="BF177" s="30" t="str">
        <f t="shared" si="201"/>
        <v>3,46344625241709+5,67156529984524i</v>
      </c>
      <c r="BG177" s="68">
        <f t="shared" si="202"/>
        <v>16.4504984361975</v>
      </c>
      <c r="BH177" s="31">
        <f t="shared" si="203"/>
        <v>58.5889023591347</v>
      </c>
      <c r="BI177" s="30" t="str">
        <f t="shared" si="156"/>
        <v>24,7021185855401+58,6036508550198i</v>
      </c>
      <c r="BJ177" s="68">
        <f t="shared" si="204"/>
        <v>36.0687370446116</v>
      </c>
      <c r="BK177" s="31">
        <f t="shared" si="157"/>
        <v>67.1440125908864</v>
      </c>
      <c r="BL177" s="32">
        <f t="shared" si="205"/>
        <v>16.4504984361975</v>
      </c>
      <c r="BM177" s="31">
        <f t="shared" si="206"/>
        <v>58.5889023591347</v>
      </c>
      <c r="BO177">
        <f t="shared" si="207"/>
        <v>0</v>
      </c>
      <c r="BP177">
        <f t="shared" si="208"/>
        <v>0</v>
      </c>
    </row>
    <row r="178" spans="14:68">
      <c r="N178" s="7">
        <v>60</v>
      </c>
      <c r="O178" s="18">
        <f t="shared" si="158"/>
        <v>398.107170553498</v>
      </c>
      <c r="P178" s="86" t="str">
        <f t="shared" si="159"/>
        <v>54,5454545454545</v>
      </c>
      <c r="Q178" s="4" t="str">
        <f t="shared" si="160"/>
        <v>1+5,09372156303478i</v>
      </c>
      <c r="R178" s="4">
        <f t="shared" si="171"/>
        <v>5.19095360812688</v>
      </c>
      <c r="S178" s="4">
        <f t="shared" si="172"/>
        <v>1.37694160944073</v>
      </c>
      <c r="T178" s="4" t="str">
        <f t="shared" si="161"/>
        <v>1+0,0392216560353678i</v>
      </c>
      <c r="U178" s="4">
        <f t="shared" si="173"/>
        <v>1.0007688735678</v>
      </c>
      <c r="V178" s="4">
        <f t="shared" si="174"/>
        <v>0.0392015625199</v>
      </c>
      <c r="W178" t="str">
        <f t="shared" si="162"/>
        <v>1-0,112562150611706i</v>
      </c>
      <c r="X178" s="4">
        <f t="shared" si="175"/>
        <v>1.00631517813771</v>
      </c>
      <c r="Y178" s="4">
        <f t="shared" si="176"/>
        <v>-0.112090335851085</v>
      </c>
      <c r="Z178" t="str">
        <f t="shared" si="163"/>
        <v>0,999998706209639+0,0077721484946178i</v>
      </c>
      <c r="AA178" s="4">
        <f t="shared" si="177"/>
        <v>1.00002890893872</v>
      </c>
      <c r="AB178" s="4">
        <f t="shared" si="178"/>
        <v>0.00777200205966826</v>
      </c>
      <c r="AC178" s="67" t="str">
        <f t="shared" si="179"/>
        <v>1,19525903958311-10,5142532726376i</v>
      </c>
      <c r="AD178" s="68">
        <f t="shared" si="180"/>
        <v>20.491333504635</v>
      </c>
      <c r="AE178" s="31">
        <f t="shared" si="181"/>
        <v>-83.5144648590534</v>
      </c>
      <c r="AF178" s="32" t="str">
        <f t="shared" si="182"/>
        <v>432,040091031901</v>
      </c>
      <c r="AG178" s="32" t="str">
        <f t="shared" si="164"/>
        <v>1+4,15043979210241i</v>
      </c>
      <c r="AH178" s="32">
        <f t="shared" si="183"/>
        <v>4.26920958350221</v>
      </c>
      <c r="AI178" s="32">
        <f t="shared" si="184"/>
        <v>1.33436431674248</v>
      </c>
      <c r="AJ178" s="32" t="str">
        <f t="shared" si="165"/>
        <v>1+0,0392216560353678i</v>
      </c>
      <c r="AK178" s="32">
        <f t="shared" si="185"/>
        <v>1.0007688735678</v>
      </c>
      <c r="AL178" s="32">
        <f t="shared" si="186"/>
        <v>0.0392015625199</v>
      </c>
      <c r="AM178" s="32" t="str">
        <f t="shared" si="166"/>
        <v>1-0,0115791446122158i</v>
      </c>
      <c r="AN178" s="32">
        <f t="shared" si="187"/>
        <v>1.00006703604806</v>
      </c>
      <c r="AO178" s="32">
        <f t="shared" si="188"/>
        <v>-0.0115786271564343</v>
      </c>
      <c r="AP178" s="30" t="str">
        <f t="shared" si="189"/>
        <v>26,434745513346-97,7731465210827i</v>
      </c>
      <c r="AQ178" s="32">
        <f t="shared" si="190"/>
        <v>40.1107894981601</v>
      </c>
      <c r="AR178" s="31">
        <f t="shared" si="191"/>
        <v>-74.8707660681126</v>
      </c>
      <c r="AS178" t="str">
        <f t="shared" si="167"/>
        <v>-0,000201496259351621</v>
      </c>
      <c r="AT178" t="str">
        <f t="shared" si="168"/>
        <v>0,000562060338721118i</v>
      </c>
      <c r="AU178">
        <f t="shared" si="192"/>
        <v>0.000562060338721118</v>
      </c>
      <c r="AV178">
        <f t="shared" si="193"/>
        <v>1.5707963267949</v>
      </c>
      <c r="AW178" t="str">
        <f t="shared" si="169"/>
        <v>1+0,0287764584217238i</v>
      </c>
      <c r="AX178">
        <f t="shared" si="194"/>
        <v>1.00041395659962</v>
      </c>
      <c r="AY178">
        <f t="shared" si="195"/>
        <v>0.0287685192523027</v>
      </c>
      <c r="AZ178" t="str">
        <f t="shared" si="170"/>
        <v>1+1,37575961858752i</v>
      </c>
      <c r="BA178">
        <f t="shared" si="196"/>
        <v>1.70079820323755</v>
      </c>
      <c r="BB178">
        <f t="shared" si="197"/>
        <v>0.942262732425172</v>
      </c>
      <c r="BC178" s="30" t="str">
        <f t="shared" si="198"/>
        <v>-0,482488237147275+0,372380082365612i</v>
      </c>
      <c r="BD178" s="32">
        <f t="shared" si="199"/>
        <v>-4.3008581221789</v>
      </c>
      <c r="BE178" s="31">
        <f t="shared" si="200"/>
        <v>142.339363024429</v>
      </c>
      <c r="BF178" s="30" t="str">
        <f t="shared" si="201"/>
        <v>3,33860007273489+5,51809418604308i</v>
      </c>
      <c r="BG178" s="68">
        <f t="shared" si="202"/>
        <v>16.1904753824561</v>
      </c>
      <c r="BH178" s="31">
        <f t="shared" si="203"/>
        <v>58.824898165376</v>
      </c>
      <c r="BI178" s="30" t="str">
        <f t="shared" ref="BI178:BI241" si="209">IMPRODUCT(AP178,BC178)</f>
        <v>23,6543185924947+57,0181658168732i</v>
      </c>
      <c r="BJ178" s="68">
        <f t="shared" si="204"/>
        <v>35.8099313759812</v>
      </c>
      <c r="BK178" s="31">
        <f t="shared" ref="BK178:BK241" si="210">(180/PI())*IMARGUMENT(BI178)</f>
        <v>67.4685969563167</v>
      </c>
      <c r="BL178" s="32">
        <f t="shared" si="205"/>
        <v>16.1904753824561</v>
      </c>
      <c r="BM178" s="31">
        <f t="shared" si="206"/>
        <v>58.824898165376</v>
      </c>
      <c r="BO178">
        <f t="shared" si="207"/>
        <v>0</v>
      </c>
      <c r="BP178">
        <f t="shared" si="208"/>
        <v>0</v>
      </c>
    </row>
    <row r="179" spans="14:68">
      <c r="N179" s="7">
        <v>61</v>
      </c>
      <c r="O179" s="18">
        <f t="shared" si="158"/>
        <v>407.380277804113</v>
      </c>
      <c r="P179" s="86" t="str">
        <f t="shared" si="159"/>
        <v>54,5454545454545</v>
      </c>
      <c r="Q179" s="4" t="str">
        <f t="shared" si="160"/>
        <v>1+5,21236958008284i</v>
      </c>
      <c r="R179" s="4">
        <f t="shared" si="171"/>
        <v>5.30742843940198</v>
      </c>
      <c r="S179" s="4">
        <f t="shared" si="172"/>
        <v>1.38124816973452</v>
      </c>
      <c r="T179" s="4" t="str">
        <f t="shared" si="161"/>
        <v>1+0,0401352457666379i</v>
      </c>
      <c r="U179" s="4">
        <f t="shared" si="173"/>
        <v>1.00080509488749</v>
      </c>
      <c r="V179" s="4">
        <f t="shared" si="174"/>
        <v>0.0401137161122397</v>
      </c>
      <c r="W179" t="str">
        <f t="shared" si="162"/>
        <v>1-0,115184059917009i</v>
      </c>
      <c r="X179" s="4">
        <f t="shared" si="175"/>
        <v>1.00661182570987</v>
      </c>
      <c r="Y179" s="4">
        <f t="shared" si="176"/>
        <v>-0.114678680467211</v>
      </c>
      <c r="Z179" t="str">
        <f t="shared" si="163"/>
        <v>0,999998645235178+0,00795318508950779i</v>
      </c>
      <c r="AA179" s="4">
        <f t="shared" si="177"/>
        <v>1.00003027135445</v>
      </c>
      <c r="AB179" s="4">
        <f t="shared" si="178"/>
        <v>0.00795302818188878</v>
      </c>
      <c r="AC179" s="67" t="str">
        <f t="shared" si="179"/>
        <v>1,10598569530845-10,2939136948232i</v>
      </c>
      <c r="AD179" s="68">
        <f t="shared" si="180"/>
        <v>20.3014561458265</v>
      </c>
      <c r="AE179" s="31">
        <f t="shared" si="181"/>
        <v>-83.8676232922117</v>
      </c>
      <c r="AF179" s="32" t="str">
        <f t="shared" si="182"/>
        <v>432,040091031901</v>
      </c>
      <c r="AG179" s="32" t="str">
        <f t="shared" si="164"/>
        <v>1+4,24711595414157i</v>
      </c>
      <c r="AH179" s="32">
        <f t="shared" si="183"/>
        <v>4.36325496939199</v>
      </c>
      <c r="AI179" s="32">
        <f t="shared" si="184"/>
        <v>1.33955426804636</v>
      </c>
      <c r="AJ179" s="32" t="str">
        <f t="shared" si="165"/>
        <v>1+0,0401352457666379i</v>
      </c>
      <c r="AK179" s="32">
        <f t="shared" si="185"/>
        <v>1.00080509488749</v>
      </c>
      <c r="AL179" s="32">
        <f t="shared" si="186"/>
        <v>0.0401137161122397</v>
      </c>
      <c r="AM179" s="32" t="str">
        <f t="shared" si="166"/>
        <v>1-0,0118488575382859i</v>
      </c>
      <c r="AN179" s="32">
        <f t="shared" si="187"/>
        <v>1.00007019524879</v>
      </c>
      <c r="AO179" s="32">
        <f t="shared" si="188"/>
        <v>-0.0118483030765284</v>
      </c>
      <c r="AP179" s="30" t="str">
        <f t="shared" si="189"/>
        <v>25,4306696065913-95,7861488655163i</v>
      </c>
      <c r="AQ179" s="32">
        <f t="shared" si="190"/>
        <v>39.9218689772025</v>
      </c>
      <c r="AR179" s="31">
        <f t="shared" si="191"/>
        <v>-75.1313171146524</v>
      </c>
      <c r="AS179" t="str">
        <f t="shared" si="167"/>
        <v>-0,000201496259351621</v>
      </c>
      <c r="AT179" t="str">
        <f t="shared" si="168"/>
        <v>0,000575152405852267i</v>
      </c>
      <c r="AU179">
        <f t="shared" si="192"/>
        <v>0.000575152405852267</v>
      </c>
      <c r="AV179">
        <f t="shared" si="193"/>
        <v>1.5707963267949</v>
      </c>
      <c r="AW179" t="str">
        <f t="shared" si="169"/>
        <v>1+0,0294467482456084i</v>
      </c>
      <c r="AX179">
        <f t="shared" si="194"/>
        <v>1.00043346154666</v>
      </c>
      <c r="AY179">
        <f t="shared" si="195"/>
        <v>0.0294382414713621</v>
      </c>
      <c r="AZ179" t="str">
        <f t="shared" si="170"/>
        <v>1+1,40780517676345i</v>
      </c>
      <c r="BA179">
        <f t="shared" si="196"/>
        <v>1.72682234631185</v>
      </c>
      <c r="BB179">
        <f t="shared" si="197"/>
        <v>0.953174020192787</v>
      </c>
      <c r="BC179" s="30" t="str">
        <f t="shared" si="198"/>
        <v>-0,482469423670639+0,364542575104495i</v>
      </c>
      <c r="BD179" s="32">
        <f t="shared" si="199"/>
        <v>-4.36913003384387</v>
      </c>
      <c r="BE179" s="31">
        <f t="shared" si="200"/>
        <v>142.926161505968</v>
      </c>
      <c r="BF179" s="30" t="str">
        <f t="shared" si="201"/>
        <v>3,21896552521084+5,36967748105312i</v>
      </c>
      <c r="BG179" s="68">
        <f t="shared" si="202"/>
        <v>15.9323261119827</v>
      </c>
      <c r="BH179" s="31">
        <f t="shared" si="203"/>
        <v>59.0585382137564</v>
      </c>
      <c r="BI179" s="30" t="str">
        <f t="shared" si="209"/>
        <v>22,6486088581273+55,4844498237941i</v>
      </c>
      <c r="BJ179" s="68">
        <f t="shared" si="204"/>
        <v>35.5527389433587</v>
      </c>
      <c r="BK179" s="31">
        <f t="shared" si="210"/>
        <v>67.7948443913157</v>
      </c>
      <c r="BL179" s="32">
        <f t="shared" si="205"/>
        <v>15.9323261119827</v>
      </c>
      <c r="BM179" s="31">
        <f t="shared" si="206"/>
        <v>59.0585382137564</v>
      </c>
      <c r="BO179">
        <f t="shared" si="207"/>
        <v>0</v>
      </c>
      <c r="BP179">
        <f t="shared" si="208"/>
        <v>0</v>
      </c>
    </row>
    <row r="180" spans="14:68">
      <c r="N180" s="7">
        <v>62</v>
      </c>
      <c r="O180" s="18">
        <f t="shared" si="158"/>
        <v>416.869383470336</v>
      </c>
      <c r="P180" s="86" t="str">
        <f t="shared" si="159"/>
        <v>54,5454545454545</v>
      </c>
      <c r="Q180" s="4" t="str">
        <f t="shared" si="160"/>
        <v>1+5,33378126447616i</v>
      </c>
      <c r="R180" s="4">
        <f t="shared" si="171"/>
        <v>5.42671379172303</v>
      </c>
      <c r="S180" s="4">
        <f t="shared" si="172"/>
        <v>1.38546358832081</v>
      </c>
      <c r="T180" s="4" t="str">
        <f t="shared" si="161"/>
        <v>1+0,0410701157364665i</v>
      </c>
      <c r="U180" s="4">
        <f t="shared" si="173"/>
        <v>1.00084302186037</v>
      </c>
      <c r="V180" s="4">
        <f t="shared" si="174"/>
        <v>0.0410470473454965</v>
      </c>
      <c r="W180" t="str">
        <f t="shared" si="162"/>
        <v>1-0,117867041335522i</v>
      </c>
      <c r="X180" s="4">
        <f t="shared" si="175"/>
        <v>1.00692236018135</v>
      </c>
      <c r="Y180" s="4">
        <f t="shared" si="176"/>
        <v>-0.117325718362541</v>
      </c>
      <c r="Z180" t="str">
        <f t="shared" si="163"/>
        <v>0,999998581387079+0,00813843856840512i</v>
      </c>
      <c r="AA180" s="4">
        <f t="shared" si="177"/>
        <v>1.00003169797687</v>
      </c>
      <c r="AB180" s="4">
        <f t="shared" si="178"/>
        <v>0.00813827043914989</v>
      </c>
      <c r="AC180" s="67" t="str">
        <f t="shared" si="179"/>
        <v>1,02044968127155-10,0775425779706i</v>
      </c>
      <c r="AD180" s="68">
        <f t="shared" si="180"/>
        <v>20.1113966515678</v>
      </c>
      <c r="AE180" s="31">
        <f t="shared" si="181"/>
        <v>-84.217950744676</v>
      </c>
      <c r="AF180" s="32" t="str">
        <f t="shared" si="182"/>
        <v>432,040091031901</v>
      </c>
      <c r="AG180" s="32" t="str">
        <f t="shared" si="164"/>
        <v>1+4,34604399327687i</v>
      </c>
      <c r="AH180" s="32">
        <f t="shared" si="183"/>
        <v>4.45960742571563</v>
      </c>
      <c r="AI180" s="32">
        <f t="shared" si="184"/>
        <v>1.34463836764614</v>
      </c>
      <c r="AJ180" s="32" t="str">
        <f t="shared" si="165"/>
        <v>1+0,0410701157364665i</v>
      </c>
      <c r="AK180" s="32">
        <f t="shared" si="185"/>
        <v>1.00084302186037</v>
      </c>
      <c r="AL180" s="32">
        <f t="shared" si="186"/>
        <v>0.0410470473454965</v>
      </c>
      <c r="AM180" s="32" t="str">
        <f t="shared" si="166"/>
        <v>1-0,012124852885461i</v>
      </c>
      <c r="AN180" s="32">
        <f t="shared" si="187"/>
        <v>1.00007350332738</v>
      </c>
      <c r="AO180" s="32">
        <f t="shared" si="188"/>
        <v>-0.0121242587713421</v>
      </c>
      <c r="AP180" s="30" t="str">
        <f t="shared" si="189"/>
        <v>24,4671329587745-93,8297222310979i</v>
      </c>
      <c r="AQ180" s="32">
        <f t="shared" si="190"/>
        <v>39.7325061079933</v>
      </c>
      <c r="AR180" s="31">
        <f t="shared" si="191"/>
        <v>-75.384949720436</v>
      </c>
      <c r="AS180" t="str">
        <f t="shared" si="167"/>
        <v>-0,000201496259351621</v>
      </c>
      <c r="AT180" t="str">
        <f t="shared" si="168"/>
        <v>0,000588549426402041i</v>
      </c>
      <c r="AU180">
        <f t="shared" si="192"/>
        <v>0.000588549426402041</v>
      </c>
      <c r="AV180">
        <f t="shared" si="193"/>
        <v>1.5707963267949</v>
      </c>
      <c r="AW180" t="str">
        <f t="shared" si="169"/>
        <v>1+0,0301326511251867i</v>
      </c>
      <c r="AX180">
        <f t="shared" si="194"/>
        <v>1.00045388532597</v>
      </c>
      <c r="AY180">
        <f t="shared" si="195"/>
        <v>0.0301235361756882</v>
      </c>
      <c r="AZ180" t="str">
        <f t="shared" si="170"/>
        <v>1+1,4405971718786i</v>
      </c>
      <c r="BA180">
        <f t="shared" si="196"/>
        <v>1.75365909219113</v>
      </c>
      <c r="BB180">
        <f t="shared" si="197"/>
        <v>0.964002899097367</v>
      </c>
      <c r="BC180" s="30" t="str">
        <f t="shared" si="198"/>
        <v>-0,482449725114621+0,3568983009575i</v>
      </c>
      <c r="BD180" s="32">
        <f t="shared" si="199"/>
        <v>-4.43535713069506</v>
      </c>
      <c r="BE180" s="31">
        <f t="shared" si="200"/>
        <v>143.507346069778</v>
      </c>
      <c r="BF180" s="30" t="str">
        <f t="shared" si="201"/>
        <v>3,10434215568181+5,22610440403124i</v>
      </c>
      <c r="BG180" s="68">
        <f t="shared" si="202"/>
        <v>15.6760395208727</v>
      </c>
      <c r="BH180" s="31">
        <f t="shared" si="203"/>
        <v>59.2893953251024</v>
      </c>
      <c r="BI180" s="30" t="str">
        <f t="shared" si="209"/>
        <v>21,6835068732894+54,0004018802623i</v>
      </c>
      <c r="BJ180" s="68">
        <f t="shared" si="204"/>
        <v>35.2971489772982</v>
      </c>
      <c r="BK180" s="31">
        <f t="shared" si="210"/>
        <v>68.1223963493424</v>
      </c>
      <c r="BL180" s="32">
        <f t="shared" si="205"/>
        <v>15.6760395208727</v>
      </c>
      <c r="BM180" s="31">
        <f t="shared" si="206"/>
        <v>59.2893953251024</v>
      </c>
      <c r="BO180">
        <f t="shared" si="207"/>
        <v>0</v>
      </c>
      <c r="BP180">
        <f t="shared" si="208"/>
        <v>0</v>
      </c>
    </row>
    <row r="181" spans="14:68">
      <c r="N181" s="7">
        <v>63</v>
      </c>
      <c r="O181" s="18">
        <f t="shared" si="158"/>
        <v>426.579518801593</v>
      </c>
      <c r="P181" s="86" t="str">
        <f t="shared" si="159"/>
        <v>54,5454545454545</v>
      </c>
      <c r="Q181" s="4" t="str">
        <f t="shared" si="160"/>
        <v>1+5,45802099029683i</v>
      </c>
      <c r="R181" s="4">
        <f t="shared" si="171"/>
        <v>5.54887314060439</v>
      </c>
      <c r="S181" s="4">
        <f t="shared" si="172"/>
        <v>1.38958950072375</v>
      </c>
      <c r="T181" s="4" t="str">
        <f t="shared" si="161"/>
        <v>1+0,0420267616252857i</v>
      </c>
      <c r="U181" s="4">
        <f t="shared" si="173"/>
        <v>1.00088273473605</v>
      </c>
      <c r="V181" s="4">
        <f t="shared" si="174"/>
        <v>0.0420020445762832</v>
      </c>
      <c r="W181" t="str">
        <f t="shared" si="162"/>
        <v>1-0,120612517419506i</v>
      </c>
      <c r="X181" s="4">
        <f t="shared" si="175"/>
        <v>1.0072474270795</v>
      </c>
      <c r="Y181" s="4">
        <f t="shared" si="176"/>
        <v>-0.120032704573237</v>
      </c>
      <c r="Z181" t="str">
        <f t="shared" si="163"/>
        <v>0,999998514529911+0,00832800715515637i</v>
      </c>
      <c r="AA181" s="4">
        <f t="shared" si="177"/>
        <v>1.00003319183175</v>
      </c>
      <c r="AB181" s="4">
        <f t="shared" si="178"/>
        <v>0.0083278270017364</v>
      </c>
      <c r="AC181" s="67" t="str">
        <f t="shared" si="179"/>
        <v>0,938506071255476-9,86511792730034i</v>
      </c>
      <c r="AD181" s="68">
        <f t="shared" si="180"/>
        <v>19.921174376926</v>
      </c>
      <c r="AE181" s="31">
        <f t="shared" si="181"/>
        <v>-84.5655904773223</v>
      </c>
      <c r="AF181" s="32" t="str">
        <f t="shared" si="182"/>
        <v>432,040091031901</v>
      </c>
      <c r="AG181" s="32" t="str">
        <f t="shared" si="164"/>
        <v>1+4,44727636246408i</v>
      </c>
      <c r="AH181" s="32">
        <f t="shared" si="183"/>
        <v>4.55831844479208</v>
      </c>
      <c r="AI181" s="32">
        <f t="shared" si="184"/>
        <v>1.34961825941747</v>
      </c>
      <c r="AJ181" s="32" t="str">
        <f t="shared" si="165"/>
        <v>1+0,0420267616252857i</v>
      </c>
      <c r="AK181" s="32">
        <f t="shared" si="185"/>
        <v>1.00088273473605</v>
      </c>
      <c r="AL181" s="32">
        <f t="shared" si="186"/>
        <v>0.0420020445762832</v>
      </c>
      <c r="AM181" s="32" t="str">
        <f t="shared" si="166"/>
        <v>1-0,0124072769901273i</v>
      </c>
      <c r="AN181" s="32">
        <f t="shared" si="187"/>
        <v>1.00007696729917</v>
      </c>
      <c r="AO181" s="32">
        <f t="shared" si="188"/>
        <v>-0.0124066403880255</v>
      </c>
      <c r="AP181" s="30" t="str">
        <f t="shared" si="189"/>
        <v>23,5426900445509-91,9040441058577i</v>
      </c>
      <c r="AQ181" s="32">
        <f t="shared" si="190"/>
        <v>39.5427202007591</v>
      </c>
      <c r="AR181" s="31">
        <f t="shared" si="191"/>
        <v>-75.6317384654423</v>
      </c>
      <c r="AS181" t="str">
        <f t="shared" si="167"/>
        <v>-0,000201496259351621</v>
      </c>
      <c r="AT181" t="str">
        <f t="shared" si="168"/>
        <v>0,000602258503648066i</v>
      </c>
      <c r="AU181">
        <f t="shared" si="192"/>
        <v>0.000602258503648066</v>
      </c>
      <c r="AV181">
        <f t="shared" si="193"/>
        <v>1.5707963267949</v>
      </c>
      <c r="AW181" t="str">
        <f t="shared" si="169"/>
        <v>1+0,0308345307352443i</v>
      </c>
      <c r="AX181">
        <f t="shared" si="194"/>
        <v>1.00047527120147</v>
      </c>
      <c r="AY181">
        <f t="shared" si="195"/>
        <v>0.0308247641414577</v>
      </c>
      <c r="AZ181" t="str">
        <f t="shared" si="170"/>
        <v>1+1,47415299068285i</v>
      </c>
      <c r="BA181">
        <f t="shared" si="196"/>
        <v>1.7813273253221</v>
      </c>
      <c r="BB181">
        <f t="shared" si="197"/>
        <v>0.974744952120652</v>
      </c>
      <c r="BC181" s="30" t="str">
        <f t="shared" si="198"/>
        <v>-0,482429099918215+0,34944320310395i</v>
      </c>
      <c r="BD181" s="32">
        <f t="shared" si="199"/>
        <v>-4.49957162549644</v>
      </c>
      <c r="BE181" s="31">
        <f t="shared" si="200"/>
        <v>144.082642968403</v>
      </c>
      <c r="BF181" s="30" t="str">
        <f t="shared" si="201"/>
        <v>2,99453576829047+5,08717452992657i</v>
      </c>
      <c r="BG181" s="68">
        <f t="shared" si="202"/>
        <v>15.4216027514296</v>
      </c>
      <c r="BH181" s="31">
        <f t="shared" si="203"/>
        <v>59.5170524910809</v>
      </c>
      <c r="BI181" s="30" t="str">
        <f t="shared" si="209"/>
        <v>20,7575647827114+52,5640182956842i</v>
      </c>
      <c r="BJ181" s="68">
        <f t="shared" si="204"/>
        <v>35.0431485752626</v>
      </c>
      <c r="BK181" s="31">
        <f t="shared" si="210"/>
        <v>68.4509045029608</v>
      </c>
      <c r="BL181" s="32">
        <f t="shared" si="205"/>
        <v>15.4216027514296</v>
      </c>
      <c r="BM181" s="31">
        <f t="shared" si="206"/>
        <v>59.5170524910809</v>
      </c>
      <c r="BO181">
        <f t="shared" si="207"/>
        <v>0</v>
      </c>
      <c r="BP181">
        <f t="shared" si="208"/>
        <v>0</v>
      </c>
    </row>
    <row r="182" spans="14:68">
      <c r="N182" s="7">
        <v>64</v>
      </c>
      <c r="O182" s="18">
        <f t="shared" si="158"/>
        <v>436.515832240166</v>
      </c>
      <c r="P182" s="86" t="str">
        <f t="shared" si="159"/>
        <v>54,5454545454545</v>
      </c>
      <c r="Q182" s="4" t="str">
        <f t="shared" si="160"/>
        <v>1+5,585154631092i</v>
      </c>
      <c r="R182" s="4">
        <f t="shared" si="171"/>
        <v>5.67397147095475</v>
      </c>
      <c r="S182" s="4">
        <f t="shared" si="172"/>
        <v>1.39362753239344</v>
      </c>
      <c r="T182" s="4" t="str">
        <f t="shared" si="161"/>
        <v>1+0,0430056906594084i</v>
      </c>
      <c r="U182" s="4">
        <f t="shared" si="173"/>
        <v>1.0009243175331</v>
      </c>
      <c r="V182" s="4">
        <f t="shared" si="174"/>
        <v>0.0429792071849909</v>
      </c>
      <c r="W182" t="str">
        <f t="shared" si="162"/>
        <v>1-0,123421943856721i</v>
      </c>
      <c r="X182" s="4">
        <f t="shared" si="175"/>
        <v>1.00758770150562</v>
      </c>
      <c r="Y182" s="4">
        <f t="shared" si="176"/>
        <v>-0.122800915604399</v>
      </c>
      <c r="Z182" t="str">
        <f t="shared" si="163"/>
        <v>0,999998444521863+0,00852199136153547i</v>
      </c>
      <c r="AA182" s="4">
        <f t="shared" si="177"/>
        <v>1.00003475608746</v>
      </c>
      <c r="AB182" s="4">
        <f t="shared" si="178"/>
        <v>0.00852179832403022</v>
      </c>
      <c r="AC182" s="67" t="str">
        <f t="shared" si="179"/>
        <v>0,860014555965055-9,65661434113234i</v>
      </c>
      <c r="AD182" s="68">
        <f t="shared" si="180"/>
        <v>19.7308084362064</v>
      </c>
      <c r="AE182" s="31">
        <f t="shared" si="181"/>
        <v>-84.9106859031601</v>
      </c>
      <c r="AF182" s="32" t="str">
        <f t="shared" si="182"/>
        <v>432,040091031901</v>
      </c>
      <c r="AG182" s="32" t="str">
        <f t="shared" si="164"/>
        <v>1+4,55086673644533i</v>
      </c>
      <c r="AH182" s="32">
        <f t="shared" si="183"/>
        <v>4.65944074464786</v>
      </c>
      <c r="AI182" s="32">
        <f t="shared" si="184"/>
        <v>1.35449559533637</v>
      </c>
      <c r="AJ182" s="32" t="str">
        <f t="shared" si="165"/>
        <v>1+0,0430056906594084i</v>
      </c>
      <c r="AK182" s="32">
        <f t="shared" si="185"/>
        <v>1.0009243175331</v>
      </c>
      <c r="AL182" s="32">
        <f t="shared" si="186"/>
        <v>0.0429792071849909</v>
      </c>
      <c r="AM182" s="32" t="str">
        <f t="shared" si="166"/>
        <v>1-0,0126962795972835i</v>
      </c>
      <c r="AN182" s="32">
        <f t="shared" si="187"/>
        <v>1.00008059451007</v>
      </c>
      <c r="AO182" s="32">
        <f t="shared" si="188"/>
        <v>-0.0126955974688106</v>
      </c>
      <c r="AP182" s="30" t="str">
        <f t="shared" si="189"/>
        <v>22,655930704082-90,0092407100134i</v>
      </c>
      <c r="AQ182" s="32">
        <f t="shared" si="190"/>
        <v>39.3525299356591</v>
      </c>
      <c r="AR182" s="31">
        <f t="shared" si="191"/>
        <v>-75.8717579566755</v>
      </c>
      <c r="AS182" t="str">
        <f t="shared" si="167"/>
        <v>-0,000201496259351621</v>
      </c>
      <c r="AT182" t="str">
        <f t="shared" si="168"/>
        <v>0,000616286906324558i</v>
      </c>
      <c r="AU182">
        <f t="shared" si="192"/>
        <v>0.000616286906324558</v>
      </c>
      <c r="AV182">
        <f t="shared" si="193"/>
        <v>1.5707963267949</v>
      </c>
      <c r="AW182" t="str">
        <f t="shared" si="169"/>
        <v>1+0,031552759221641i</v>
      </c>
      <c r="AX182">
        <f t="shared" si="194"/>
        <v>1.00049766447229</v>
      </c>
      <c r="AY182">
        <f t="shared" si="195"/>
        <v>0.0315422944089758</v>
      </c>
      <c r="AZ182" t="str">
        <f t="shared" si="170"/>
        <v>1+1,50849042491547i</v>
      </c>
      <c r="BA182">
        <f t="shared" si="196"/>
        <v>1.80984622608156</v>
      </c>
      <c r="BB182">
        <f t="shared" si="197"/>
        <v>0.98539595851688</v>
      </c>
      <c r="BC182" s="30" t="str">
        <f t="shared" si="198"/>
        <v>-0,482407504576281+0,342173324761338i</v>
      </c>
      <c r="BD182" s="32">
        <f t="shared" si="199"/>
        <v>-4.56180710536107</v>
      </c>
      <c r="BE182" s="31">
        <f t="shared" si="200"/>
        <v>144.651789226472</v>
      </c>
      <c r="BF182" s="30" t="str">
        <f t="shared" si="201"/>
        <v>2,88935835920089+4,95269726691889i</v>
      </c>
      <c r="BG182" s="68">
        <f t="shared" si="202"/>
        <v>15.1690013308453</v>
      </c>
      <c r="BH182" s="31">
        <f t="shared" si="203"/>
        <v>59.7411033233119</v>
      </c>
      <c r="BI182" s="30" t="str">
        <f t="shared" si="209"/>
        <v>19,8693701581795+51,1733883343016i</v>
      </c>
      <c r="BJ182" s="68">
        <f t="shared" si="204"/>
        <v>34.790722830298</v>
      </c>
      <c r="BK182" s="31">
        <f t="shared" si="210"/>
        <v>68.7800312697965</v>
      </c>
      <c r="BL182" s="32">
        <f t="shared" si="205"/>
        <v>15.1690013308453</v>
      </c>
      <c r="BM182" s="31">
        <f t="shared" si="206"/>
        <v>59.7411033233119</v>
      </c>
      <c r="BO182">
        <f t="shared" si="207"/>
        <v>0</v>
      </c>
      <c r="BP182">
        <f t="shared" si="208"/>
        <v>0</v>
      </c>
    </row>
    <row r="183" spans="14:68">
      <c r="N183" s="7">
        <v>65</v>
      </c>
      <c r="O183" s="18">
        <f t="shared" si="158"/>
        <v>446.683592150963</v>
      </c>
      <c r="P183" s="86" t="str">
        <f t="shared" si="159"/>
        <v>54,5454545454545</v>
      </c>
      <c r="Q183" s="4" t="str">
        <f t="shared" si="160"/>
        <v>1+5,71524959480084i</v>
      </c>
      <c r="R183" s="4">
        <f t="shared" si="171"/>
        <v>5.80207531240945</v>
      </c>
      <c r="S183" s="4">
        <f t="shared" si="172"/>
        <v>1.39757929734465</v>
      </c>
      <c r="T183" s="4" t="str">
        <f t="shared" si="161"/>
        <v>1+0,0440074218799665i</v>
      </c>
      <c r="U183" s="4">
        <f t="shared" si="173"/>
        <v>1.0009678582155</v>
      </c>
      <c r="V183" s="4">
        <f t="shared" si="174"/>
        <v>0.0439790458075922</v>
      </c>
      <c r="W183" t="str">
        <f t="shared" si="162"/>
        <v>1-0,126296810242251i</v>
      </c>
      <c r="X183" s="4">
        <f t="shared" si="175"/>
        <v>1.0079438894489</v>
      </c>
      <c r="Y183" s="4">
        <f t="shared" si="176"/>
        <v>-0.125631649404932</v>
      </c>
      <c r="Z183" t="str">
        <f t="shared" si="163"/>
        <v>0,999998371214437+0,00872049404053637i</v>
      </c>
      <c r="AA183" s="4">
        <f t="shared" si="177"/>
        <v>1.00003639406166</v>
      </c>
      <c r="AB183" s="4">
        <f t="shared" si="178"/>
        <v>0.00872028719752921</v>
      </c>
      <c r="AC183" s="67" t="str">
        <f t="shared" si="179"/>
        <v>0,78483938405737-9,45200329476961i</v>
      </c>
      <c r="AD183" s="68">
        <f t="shared" si="180"/>
        <v>19.540317731053</v>
      </c>
      <c r="AE183" s="31">
        <f t="shared" si="181"/>
        <v>-85.2533804976501</v>
      </c>
      <c r="AF183" s="32" t="str">
        <f t="shared" si="182"/>
        <v>432,040091031901</v>
      </c>
      <c r="AG183" s="32" t="str">
        <f t="shared" si="164"/>
        <v>1+4,65687004020809i</v>
      </c>
      <c r="AH183" s="32">
        <f t="shared" si="183"/>
        <v>4.76302829840299</v>
      </c>
      <c r="AI183" s="32">
        <f t="shared" si="184"/>
        <v>1.35927203281579</v>
      </c>
      <c r="AJ183" s="32" t="str">
        <f t="shared" si="165"/>
        <v>1+0,0440074218799665i</v>
      </c>
      <c r="AK183" s="32">
        <f t="shared" si="185"/>
        <v>1.0009678582155</v>
      </c>
      <c r="AL183" s="32">
        <f t="shared" si="186"/>
        <v>0.0439790458075922</v>
      </c>
      <c r="AM183" s="32" t="str">
        <f t="shared" si="166"/>
        <v>1-0,0129920139399373i</v>
      </c>
      <c r="AN183" s="32">
        <f t="shared" si="187"/>
        <v>1.00008439265205</v>
      </c>
      <c r="AO183" s="32">
        <f t="shared" si="188"/>
        <v>-0.012991283029441</v>
      </c>
      <c r="AP183" s="30" t="str">
        <f t="shared" si="189"/>
        <v>21,8054807310475-88,1453902589479i</v>
      </c>
      <c r="AQ183" s="32">
        <f t="shared" si="190"/>
        <v>39.1619533810567</v>
      </c>
      <c r="AR183" s="31">
        <f t="shared" si="191"/>
        <v>-76.105082666772</v>
      </c>
      <c r="AS183" t="str">
        <f t="shared" si="167"/>
        <v>-0,000201496259351621</v>
      </c>
      <c r="AT183" t="str">
        <f t="shared" si="168"/>
        <v>0,000630642072476306i</v>
      </c>
      <c r="AU183">
        <f t="shared" si="192"/>
        <v>0.000630642072476306</v>
      </c>
      <c r="AV183">
        <f t="shared" si="193"/>
        <v>1.5707963267949</v>
      </c>
      <c r="AW183" t="str">
        <f t="shared" si="169"/>
        <v>1+0,0322877173986272i</v>
      </c>
      <c r="AX183">
        <f t="shared" si="194"/>
        <v>1.00052111256825</v>
      </c>
      <c r="AY183">
        <f t="shared" si="195"/>
        <v>0.0322765044652359</v>
      </c>
      <c r="AZ183" t="str">
        <f t="shared" si="170"/>
        <v>1+1,54362768073862i</v>
      </c>
      <c r="BA183">
        <f t="shared" si="196"/>
        <v>1.83923528042023</v>
      </c>
      <c r="BB183">
        <f t="shared" si="197"/>
        <v>0.99595189918496</v>
      </c>
      <c r="BC183" s="30" t="str">
        <f t="shared" si="198"/>
        <v>-0,482384893549344+0,335084807068497i</v>
      </c>
      <c r="BD183" s="32">
        <f t="shared" si="199"/>
        <v>-4.62209841921554</v>
      </c>
      <c r="BE183" s="31">
        <f t="shared" si="200"/>
        <v>145.214532938044</v>
      </c>
      <c r="BF183" s="30" t="str">
        <f t="shared" si="201"/>
        <v>2,78862803770683+4,82249135676211i</v>
      </c>
      <c r="BG183" s="68">
        <f t="shared" si="202"/>
        <v>14.9182193118375</v>
      </c>
      <c r="BH183" s="31">
        <f t="shared" si="203"/>
        <v>59.9611524403938</v>
      </c>
      <c r="BI183" s="30" t="str">
        <f t="shared" si="209"/>
        <v>19,0175465876583+49,8266900007268i</v>
      </c>
      <c r="BJ183" s="68">
        <f t="shared" si="204"/>
        <v>34.5398549618412</v>
      </c>
      <c r="BK183" s="31">
        <f t="shared" si="210"/>
        <v>69.1094502712718</v>
      </c>
      <c r="BL183" s="32">
        <f t="shared" si="205"/>
        <v>14.9182193118375</v>
      </c>
      <c r="BM183" s="31">
        <f t="shared" si="206"/>
        <v>59.9611524403938</v>
      </c>
      <c r="BO183">
        <f t="shared" si="207"/>
        <v>0</v>
      </c>
      <c r="BP183">
        <f t="shared" si="208"/>
        <v>0</v>
      </c>
    </row>
    <row r="184" spans="14:68">
      <c r="N184" s="7">
        <v>66</v>
      </c>
      <c r="O184" s="18">
        <f t="shared" ref="O184:O218" si="211">10^(2+(N184/100))</f>
        <v>457.088189614876</v>
      </c>
      <c r="P184" s="86" t="str">
        <f t="shared" si="159"/>
        <v>54,5454545454545</v>
      </c>
      <c r="Q184" s="4" t="str">
        <f t="shared" si="160"/>
        <v>1+5,84837485949514i</v>
      </c>
      <c r="R184" s="4">
        <f t="shared" si="171"/>
        <v>5.93325277543228</v>
      </c>
      <c r="S184" s="4">
        <f t="shared" si="172"/>
        <v>1.4014463969102</v>
      </c>
      <c r="T184" s="4" t="str">
        <f t="shared" si="161"/>
        <v>1+0,0450324864181127i</v>
      </c>
      <c r="U184" s="4">
        <f t="shared" si="173"/>
        <v>1.00101344887719</v>
      </c>
      <c r="V184" s="4">
        <f t="shared" si="174"/>
        <v>0.0450020825710779</v>
      </c>
      <c r="W184" t="str">
        <f t="shared" si="162"/>
        <v>1-0,129238640868308i</v>
      </c>
      <c r="X184" s="4">
        <f t="shared" si="175"/>
        <v>1.00831672915483</v>
      </c>
      <c r="Y184" s="4">
        <f t="shared" si="176"/>
        <v>-0.128526225307814</v>
      </c>
      <c r="Z184" t="str">
        <f t="shared" si="163"/>
        <v>0,999998294452138+0,00892362044090698i</v>
      </c>
      <c r="AA184" s="4">
        <f t="shared" si="177"/>
        <v>1.00003810922832</v>
      </c>
      <c r="AB184" s="4">
        <f t="shared" si="178"/>
        <v>0.00892339880508758</v>
      </c>
      <c r="AC184" s="67" t="str">
        <f t="shared" si="179"/>
        <v>0,712849294918938-9,25125340970843i</v>
      </c>
      <c r="AD184" s="68">
        <f t="shared" si="180"/>
        <v>19.3497209787393</v>
      </c>
      <c r="AE184" s="31">
        <f t="shared" si="181"/>
        <v>-85.5938177134773</v>
      </c>
      <c r="AF184" s="32" t="str">
        <f t="shared" si="182"/>
        <v>432,040091031901</v>
      </c>
      <c r="AG184" s="32" t="str">
        <f t="shared" si="164"/>
        <v>1+4,76534247810715i</v>
      </c>
      <c r="AH184" s="32">
        <f t="shared" si="183"/>
        <v>4.86913636424904</v>
      </c>
      <c r="AI184" s="32">
        <f t="shared" si="184"/>
        <v>1.36394923221407</v>
      </c>
      <c r="AJ184" s="32" t="str">
        <f t="shared" si="165"/>
        <v>1+0,0450324864181127i</v>
      </c>
      <c r="AK184" s="32">
        <f t="shared" si="185"/>
        <v>1.00101344887719</v>
      </c>
      <c r="AL184" s="32">
        <f t="shared" si="186"/>
        <v>0.0450020825710779</v>
      </c>
      <c r="AM184" s="32" t="str">
        <f t="shared" si="166"/>
        <v>1-0,0132946368203517i</v>
      </c>
      <c r="AN184" s="32">
        <f t="shared" si="187"/>
        <v>1.00008836977948</v>
      </c>
      <c r="AO184" s="32">
        <f t="shared" si="188"/>
        <v>-0.0132938536393821</v>
      </c>
      <c r="AP184" s="30" t="str">
        <f t="shared" si="189"/>
        <v>20,9900022921721-86,3125261090807i</v>
      </c>
      <c r="AQ184" s="32">
        <f t="shared" si="190"/>
        <v>38.9710080121003</v>
      </c>
      <c r="AR184" s="31">
        <f t="shared" si="191"/>
        <v>-76.3317867823544</v>
      </c>
      <c r="AS184" t="str">
        <f t="shared" si="167"/>
        <v>-0,000201496259351621</v>
      </c>
      <c r="AT184" t="str">
        <f t="shared" si="168"/>
        <v>0,000645331613402417i</v>
      </c>
      <c r="AU184">
        <f t="shared" si="192"/>
        <v>0.000645331613402417</v>
      </c>
      <c r="AV184">
        <f t="shared" si="193"/>
        <v>1.5707963267949</v>
      </c>
      <c r="AW184" t="str">
        <f t="shared" si="169"/>
        <v>1+0,0330397949507567i</v>
      </c>
      <c r="AX184">
        <f t="shared" si="194"/>
        <v>1.00054566514997</v>
      </c>
      <c r="AY184">
        <f t="shared" si="195"/>
        <v>0.0330277804300258</v>
      </c>
      <c r="AZ184" t="str">
        <f t="shared" si="170"/>
        <v>1+1,57958338839043i</v>
      </c>
      <c r="BA184">
        <f t="shared" si="196"/>
        <v>1.86951429009756</v>
      </c>
      <c r="BB184">
        <f t="shared" si="197"/>
        <v>1.0064089610535</v>
      </c>
      <c r="BC184" s="30" t="str">
        <f t="shared" si="198"/>
        <v>-0,482361219169234+0,328173887019359i</v>
      </c>
      <c r="BD184" s="32">
        <f t="shared" si="199"/>
        <v>-4.68048156426841</v>
      </c>
      <c r="BE184" s="31">
        <f t="shared" si="200"/>
        <v>145.770633507186</v>
      </c>
      <c r="BF184" s="30" t="str">
        <f t="shared" si="201"/>
        <v>2,69216893628409+4,69638439752305i</v>
      </c>
      <c r="BG184" s="68">
        <f t="shared" si="202"/>
        <v>14.6692394144709</v>
      </c>
      <c r="BH184" s="31">
        <f t="shared" si="203"/>
        <v>60.1768157937091</v>
      </c>
      <c r="BI184" s="30" t="str">
        <f t="shared" si="209"/>
        <v>18,2007540956598+48,5221859643199i</v>
      </c>
      <c r="BJ184" s="68">
        <f t="shared" si="204"/>
        <v>34.2905264478319</v>
      </c>
      <c r="BK184" s="31">
        <f t="shared" si="210"/>
        <v>69.4388467248321</v>
      </c>
      <c r="BL184" s="32">
        <f t="shared" si="205"/>
        <v>14.6692394144709</v>
      </c>
      <c r="BM184" s="31">
        <f t="shared" si="206"/>
        <v>60.1768157937091</v>
      </c>
      <c r="BO184">
        <f t="shared" si="207"/>
        <v>0</v>
      </c>
      <c r="BP184">
        <f t="shared" si="208"/>
        <v>0</v>
      </c>
    </row>
    <row r="185" spans="14:68">
      <c r="N185" s="7">
        <v>67</v>
      </c>
      <c r="O185" s="18">
        <f t="shared" si="211"/>
        <v>467.735141287198</v>
      </c>
      <c r="P185" s="86" t="str">
        <f t="shared" si="159"/>
        <v>54,5454545454545</v>
      </c>
      <c r="Q185" s="4" t="str">
        <f t="shared" si="160"/>
        <v>1+5,98460100995229i</v>
      </c>
      <c r="R185" s="4">
        <f t="shared" si="171"/>
        <v>6.06757358820822</v>
      </c>
      <c r="S185" s="4">
        <f t="shared" si="172"/>
        <v>1.40523041860325</v>
      </c>
      <c r="T185" s="4" t="str">
        <f t="shared" si="161"/>
        <v>1+0,0460814277766327i</v>
      </c>
      <c r="U185" s="4">
        <f t="shared" si="173"/>
        <v>1.00106118593517</v>
      </c>
      <c r="V185" s="4">
        <f t="shared" si="174"/>
        <v>0.0460488513324881</v>
      </c>
      <c r="W185" t="str">
        <f t="shared" si="162"/>
        <v>1-0,132248995532428i</v>
      </c>
      <c r="X185" s="4">
        <f t="shared" si="175"/>
        <v>1.00870699255003</v>
      </c>
      <c r="Y185" s="4">
        <f t="shared" si="176"/>
        <v>-0.131485983932925</v>
      </c>
      <c r="Z185" t="str">
        <f t="shared" si="163"/>
        <v>0,999998214072144+0,00913147826295337i</v>
      </c>
      <c r="AA185" s="4">
        <f t="shared" si="177"/>
        <v>1.00003990522516</v>
      </c>
      <c r="AB185" s="4">
        <f t="shared" si="178"/>
        <v>0.00913124077640571</v>
      </c>
      <c r="AC185" s="67" t="str">
        <f t="shared" si="179"/>
        <v>0,643917444262808-9,05433070854822i</v>
      </c>
      <c r="AD185" s="68">
        <f t="shared" si="180"/>
        <v>19.1590367406288</v>
      </c>
      <c r="AE185" s="31">
        <f t="shared" si="181"/>
        <v>-85.9321408992787</v>
      </c>
      <c r="AF185" s="32" t="str">
        <f t="shared" si="182"/>
        <v>432,040091031901</v>
      </c>
      <c r="AG185" s="32" t="str">
        <f t="shared" si="164"/>
        <v>1+4,87634156366483i</v>
      </c>
      <c r="AH185" s="32">
        <f t="shared" si="183"/>
        <v>4.97782151603743</v>
      </c>
      <c r="AI185" s="32">
        <f t="shared" si="184"/>
        <v>1.368528854509</v>
      </c>
      <c r="AJ185" s="32" t="str">
        <f t="shared" si="165"/>
        <v>1+0,0460814277766327i</v>
      </c>
      <c r="AK185" s="32">
        <f t="shared" si="185"/>
        <v>1.00106118593517</v>
      </c>
      <c r="AL185" s="32">
        <f t="shared" si="186"/>
        <v>0.0460488513324881</v>
      </c>
      <c r="AM185" s="32" t="str">
        <f t="shared" si="166"/>
        <v>1-0,0136043086931836i</v>
      </c>
      <c r="AN185" s="32">
        <f t="shared" si="187"/>
        <v>1.00009253432621</v>
      </c>
      <c r="AO185" s="32">
        <f t="shared" si="188"/>
        <v>-0.0136034695038488</v>
      </c>
      <c r="AP185" s="30" t="str">
        <f t="shared" si="189"/>
        <v>20,2081941928672-84,5106397840215i</v>
      </c>
      <c r="AQ185" s="32">
        <f t="shared" si="190"/>
        <v>38.7797107295421</v>
      </c>
      <c r="AR185" s="31">
        <f t="shared" si="191"/>
        <v>-76.5519440617673</v>
      </c>
      <c r="AS185" t="str">
        <f t="shared" si="167"/>
        <v>-0,000201496259351621</v>
      </c>
      <c r="AT185" t="str">
        <f t="shared" si="168"/>
        <v>0,000660363317691924i</v>
      </c>
      <c r="AU185">
        <f t="shared" si="192"/>
        <v>0.000660363317691924</v>
      </c>
      <c r="AV185">
        <f t="shared" si="193"/>
        <v>1.5707963267949</v>
      </c>
      <c r="AW185" t="str">
        <f t="shared" si="169"/>
        <v>1+0,0338093906395022i</v>
      </c>
      <c r="AX185">
        <f t="shared" si="194"/>
        <v>1.00057137421346</v>
      </c>
      <c r="AY185">
        <f t="shared" si="195"/>
        <v>0.0337965172456117</v>
      </c>
      <c r="AZ185" t="str">
        <f t="shared" si="170"/>
        <v>1+1,61637661206301i</v>
      </c>
      <c r="BA185">
        <f t="shared" si="196"/>
        <v>1.90070338349367</v>
      </c>
      <c r="BB185">
        <f t="shared" si="197"/>
        <v>1.01676354049309</v>
      </c>
      <c r="BC185" s="30" t="str">
        <f t="shared" si="198"/>
        <v>-0,482336431540462+0,321436895446087i</v>
      </c>
      <c r="BD185" s="32">
        <f t="shared" si="199"/>
        <v>-4.7369935722013</v>
      </c>
      <c r="BE185" s="31">
        <f t="shared" si="200"/>
        <v>146.319861832619</v>
      </c>
      <c r="BF185" s="30" t="str">
        <f t="shared" si="201"/>
        <v>2,59981111102553+4,57421238815579i</v>
      </c>
      <c r="BG185" s="68">
        <f t="shared" si="202"/>
        <v>14.4220431684275</v>
      </c>
      <c r="BH185" s="31">
        <f t="shared" si="203"/>
        <v>60.3877209333399</v>
      </c>
      <c r="BI185" s="30" t="str">
        <f t="shared" si="209"/>
        <v>17,4176894094742+47,2582196245532i</v>
      </c>
      <c r="BJ185" s="68">
        <f t="shared" si="204"/>
        <v>34.0427171573408</v>
      </c>
      <c r="BK185" s="31">
        <f t="shared" si="210"/>
        <v>69.7679177708512</v>
      </c>
      <c r="BL185" s="32">
        <f t="shared" si="205"/>
        <v>14.4220431684275</v>
      </c>
      <c r="BM185" s="31">
        <f t="shared" si="206"/>
        <v>60.3877209333399</v>
      </c>
      <c r="BO185">
        <f t="shared" si="207"/>
        <v>0</v>
      </c>
      <c r="BP185">
        <f t="shared" si="208"/>
        <v>0</v>
      </c>
    </row>
    <row r="186" spans="14:68">
      <c r="N186" s="7">
        <v>68</v>
      </c>
      <c r="O186" s="18">
        <f t="shared" si="211"/>
        <v>478.630092322639</v>
      </c>
      <c r="P186" s="86" t="str">
        <f t="shared" si="159"/>
        <v>54,5454545454545</v>
      </c>
      <c r="Q186" s="4" t="str">
        <f t="shared" si="160"/>
        <v>1+6,12400027508051i</v>
      </c>
      <c r="R186" s="4">
        <f t="shared" si="171"/>
        <v>6.20510913434938</v>
      </c>
      <c r="S186" s="4">
        <f t="shared" si="172"/>
        <v>1.40893293508242</v>
      </c>
      <c r="T186" s="4" t="str">
        <f t="shared" si="161"/>
        <v>1+0,04715480211812i</v>
      </c>
      <c r="U186" s="4">
        <f t="shared" si="173"/>
        <v>1.00111117033165</v>
      </c>
      <c r="V186" s="4">
        <f t="shared" si="174"/>
        <v>0.0471198979214908</v>
      </c>
      <c r="W186" t="str">
        <f t="shared" si="162"/>
        <v>1-0,135329470364503i</v>
      </c>
      <c r="X186" s="4">
        <f t="shared" si="175"/>
        <v>1.00911548672545</v>
      </c>
      <c r="Y186" s="4">
        <f t="shared" si="176"/>
        <v>-0.134512287049459</v>
      </c>
      <c r="Z186" t="str">
        <f t="shared" si="163"/>
        <v>0,999998129903957+0,00934417771564422i</v>
      </c>
      <c r="AA186" s="4">
        <f t="shared" si="177"/>
        <v>1.00004178586127</v>
      </c>
      <c r="AB186" s="4">
        <f t="shared" si="178"/>
        <v>0.00934392324479764</v>
      </c>
      <c r="AC186" s="67" t="str">
        <f t="shared" si="179"/>
        <v>0,577921323537172-8,86119885600554i</v>
      </c>
      <c r="AD186" s="68">
        <f t="shared" si="180"/>
        <v>18.9682834507899</v>
      </c>
      <c r="AE186" s="31">
        <f t="shared" si="181"/>
        <v>-86.268493221821</v>
      </c>
      <c r="AF186" s="32" t="str">
        <f t="shared" si="182"/>
        <v>432,040091031901</v>
      </c>
      <c r="AG186" s="32" t="str">
        <f t="shared" si="164"/>
        <v>1+4,9899261500656i</v>
      </c>
      <c r="AH186" s="32">
        <f t="shared" si="183"/>
        <v>5.08914167449763</v>
      </c>
      <c r="AI186" s="32">
        <f t="shared" si="184"/>
        <v>1.37301255913099</v>
      </c>
      <c r="AJ186" s="32" t="str">
        <f t="shared" si="165"/>
        <v>1+0,04715480211812i</v>
      </c>
      <c r="AK186" s="32">
        <f t="shared" si="185"/>
        <v>1.00111117033165</v>
      </c>
      <c r="AL186" s="32">
        <f t="shared" si="186"/>
        <v>0.0471198979214908</v>
      </c>
      <c r="AM186" s="32" t="str">
        <f t="shared" si="166"/>
        <v>1-0,0139211937505589i</v>
      </c>
      <c r="AN186" s="32">
        <f t="shared" si="187"/>
        <v>1.00009689512339</v>
      </c>
      <c r="AO186" s="32">
        <f t="shared" si="188"/>
        <v>-0.0139202945476911</v>
      </c>
      <c r="AP186" s="30" t="str">
        <f t="shared" si="189"/>
        <v>19,4587920028701-82,7396838793693i</v>
      </c>
      <c r="AQ186" s="32">
        <f t="shared" si="190"/>
        <v>38.5880778787296</v>
      </c>
      <c r="AR186" s="31">
        <f t="shared" si="191"/>
        <v>-76.7656277018352</v>
      </c>
      <c r="AS186" t="str">
        <f t="shared" si="167"/>
        <v>-0,000201496259351621</v>
      </c>
      <c r="AT186" t="str">
        <f t="shared" si="168"/>
        <v>0,000675745155353417i</v>
      </c>
      <c r="AU186">
        <f t="shared" si="192"/>
        <v>0.000675745155353417</v>
      </c>
      <c r="AV186">
        <f t="shared" si="193"/>
        <v>1.5707963267949</v>
      </c>
      <c r="AW186" t="str">
        <f t="shared" si="169"/>
        <v>1+0,0345969125146852i</v>
      </c>
      <c r="AX186">
        <f t="shared" si="194"/>
        <v>1.0005982941998</v>
      </c>
      <c r="AY186">
        <f t="shared" si="195"/>
        <v>0.0345831188700333</v>
      </c>
      <c r="AZ186" t="str">
        <f t="shared" si="170"/>
        <v>1+1,65402686001058i</v>
      </c>
      <c r="BA186">
        <f t="shared" si="196"/>
        <v>1.93282302698319</v>
      </c>
      <c r="BB186">
        <f t="shared" si="197"/>
        <v>1.02701224577746</v>
      </c>
      <c r="BC186" s="30" t="str">
        <f t="shared" si="198"/>
        <v>-0,482310478437087+0,314870255050425i</v>
      </c>
      <c r="BD186" s="32">
        <f t="shared" si="199"/>
        <v>-4.7916723957704</v>
      </c>
      <c r="BE186" s="31">
        <f t="shared" si="200"/>
        <v>146.862000437649</v>
      </c>
      <c r="BF186" s="30" t="str">
        <f t="shared" si="201"/>
        <v>2,51139043378879+4,45581929430743i</v>
      </c>
      <c r="BG186" s="68">
        <f t="shared" si="202"/>
        <v>14.1766110550195</v>
      </c>
      <c r="BH186" s="31">
        <f t="shared" si="203"/>
        <v>60.5935072158275</v>
      </c>
      <c r="BI186" s="30" t="str">
        <f t="shared" si="209"/>
        <v>16,6670860851765+46,0332113185088i</v>
      </c>
      <c r="BJ186" s="68">
        <f t="shared" si="204"/>
        <v>33.7964054829592</v>
      </c>
      <c r="BK186" s="31">
        <f t="shared" si="210"/>
        <v>70.0963727358133</v>
      </c>
      <c r="BL186" s="32">
        <f t="shared" si="205"/>
        <v>14.1766110550195</v>
      </c>
      <c r="BM186" s="31">
        <f t="shared" si="206"/>
        <v>60.5935072158275</v>
      </c>
      <c r="BO186">
        <f t="shared" si="207"/>
        <v>0</v>
      </c>
      <c r="BP186">
        <f t="shared" si="208"/>
        <v>0</v>
      </c>
    </row>
    <row r="187" spans="14:68">
      <c r="N187" s="7">
        <v>69</v>
      </c>
      <c r="O187" s="18">
        <f t="shared" si="211"/>
        <v>489.778819368446</v>
      </c>
      <c r="P187" s="86" t="str">
        <f t="shared" si="159"/>
        <v>54,5454545454545</v>
      </c>
      <c r="Q187" s="4" t="str">
        <f t="shared" si="160"/>
        <v>1+6,26664656621528i</v>
      </c>
      <c r="R187" s="4">
        <f t="shared" si="171"/>
        <v>6.34593249143558</v>
      </c>
      <c r="S187" s="4">
        <f t="shared" si="172"/>
        <v>1.41255550321415</v>
      </c>
      <c r="T187" s="4" t="str">
        <f t="shared" si="161"/>
        <v>1+0,0482531785598578i</v>
      </c>
      <c r="U187" s="4">
        <f t="shared" si="173"/>
        <v>1.00116350774543</v>
      </c>
      <c r="V187" s="4">
        <f t="shared" si="174"/>
        <v>0.0482157803864438</v>
      </c>
      <c r="W187" t="str">
        <f t="shared" si="162"/>
        <v>1-0,138481698673061i</v>
      </c>
      <c r="X187" s="4">
        <f t="shared" si="175"/>
        <v>1.00954305547974</v>
      </c>
      <c r="Y187" s="4">
        <f t="shared" si="176"/>
        <v>-0.13760651739473</v>
      </c>
      <c r="Z187" t="str">
        <f t="shared" si="163"/>
        <v>0,999998041769046+0,0095618315750447i</v>
      </c>
      <c r="AA187" s="4">
        <f t="shared" si="177"/>
        <v>1.00004375512524</v>
      </c>
      <c r="AB187" s="4">
        <f t="shared" si="178"/>
        <v>0.00956155890526397</v>
      </c>
      <c r="AC187" s="67" t="str">
        <f t="shared" si="179"/>
        <v>0,514742674060118-8,67181938646403i</v>
      </c>
      <c r="AD187" s="68">
        <f t="shared" si="180"/>
        <v>18.7774794447521</v>
      </c>
      <c r="AE187" s="31">
        <f t="shared" si="181"/>
        <v>-86.6030175911252</v>
      </c>
      <c r="AF187" s="32" t="str">
        <f t="shared" si="182"/>
        <v>432,040091031901</v>
      </c>
      <c r="AG187" s="32" t="str">
        <f t="shared" si="164"/>
        <v>1+5,1061564613606i</v>
      </c>
      <c r="AH187" s="32">
        <f t="shared" si="183"/>
        <v>5.2031561391039</v>
      </c>
      <c r="AI187" s="32">
        <f t="shared" si="184"/>
        <v>1.37740200194875</v>
      </c>
      <c r="AJ187" s="32" t="str">
        <f t="shared" si="165"/>
        <v>1+0,0482531785598578i</v>
      </c>
      <c r="AK187" s="32">
        <f t="shared" si="185"/>
        <v>1.00116350774543</v>
      </c>
      <c r="AL187" s="32">
        <f t="shared" si="186"/>
        <v>0.0482157803864438</v>
      </c>
      <c r="AM187" s="32" t="str">
        <f t="shared" si="166"/>
        <v>1-0,0142454600091295i</v>
      </c>
      <c r="AN187" s="32">
        <f t="shared" si="187"/>
        <v>1.00010146141823</v>
      </c>
      <c r="AO187" s="32">
        <f t="shared" si="188"/>
        <v>-0.0142444965011766</v>
      </c>
      <c r="AP187" s="30" t="str">
        <f t="shared" si="189"/>
        <v>18,7405680550498-80,9995748454166i</v>
      </c>
      <c r="AQ187" s="32">
        <f t="shared" si="190"/>
        <v>38.3961252687124</v>
      </c>
      <c r="AR187" s="31">
        <f t="shared" si="191"/>
        <v>-76.9729102132674</v>
      </c>
      <c r="AS187" t="str">
        <f t="shared" si="167"/>
        <v>-0,000201496259351621</v>
      </c>
      <c r="AT187" t="str">
        <f t="shared" si="168"/>
        <v>0,00069148528204082i</v>
      </c>
      <c r="AU187">
        <f t="shared" si="192"/>
        <v>0.00069148528204082</v>
      </c>
      <c r="AV187">
        <f t="shared" si="193"/>
        <v>1.5707963267949</v>
      </c>
      <c r="AW187" t="str">
        <f t="shared" si="169"/>
        <v>1+0,0354027781308276i</v>
      </c>
      <c r="AX187">
        <f t="shared" si="194"/>
        <v>1.00062648210977</v>
      </c>
      <c r="AY187">
        <f t="shared" si="195"/>
        <v>0.03538799847403</v>
      </c>
      <c r="AZ187" t="str">
        <f t="shared" si="170"/>
        <v>1+1,69255409489297i</v>
      </c>
      <c r="BA187">
        <f t="shared" si="196"/>
        <v>1.96589403685421</v>
      </c>
      <c r="BB187">
        <f t="shared" si="197"/>
        <v>1.03715189862175</v>
      </c>
      <c r="BC187" s="30" t="str">
        <f t="shared" si="198"/>
        <v>-0,482283305194932+0,308470478482138i</v>
      </c>
      <c r="BD187" s="32">
        <f t="shared" si="199"/>
        <v>-4.84455679646625</v>
      </c>
      <c r="BE187" s="31">
        <f t="shared" si="200"/>
        <v>147.396843547029</v>
      </c>
      <c r="BF187" s="30" t="str">
        <f t="shared" si="201"/>
        <v>2,42674847728265+4,34105663471986i</v>
      </c>
      <c r="BG187" s="68">
        <f t="shared" si="202"/>
        <v>13.9329226482858</v>
      </c>
      <c r="BH187" s="31">
        <f t="shared" si="203"/>
        <v>60.7938259559039</v>
      </c>
      <c r="BI187" s="30" t="str">
        <f t="shared" si="209"/>
        <v>15,9477145065954+44,8456546708001i</v>
      </c>
      <c r="BJ187" s="68">
        <f t="shared" si="204"/>
        <v>33.5515684722462</v>
      </c>
      <c r="BK187" s="31">
        <f t="shared" si="210"/>
        <v>70.4239333337618</v>
      </c>
      <c r="BL187" s="32">
        <f t="shared" si="205"/>
        <v>13.9329226482858</v>
      </c>
      <c r="BM187" s="31">
        <f t="shared" si="206"/>
        <v>60.7938259559039</v>
      </c>
      <c r="BO187">
        <f t="shared" si="207"/>
        <v>0</v>
      </c>
      <c r="BP187">
        <f t="shared" si="208"/>
        <v>0</v>
      </c>
    </row>
    <row r="188" spans="14:68">
      <c r="N188" s="7">
        <v>70</v>
      </c>
      <c r="O188" s="18">
        <f t="shared" si="211"/>
        <v>501.187233627273</v>
      </c>
      <c r="P188" s="86" t="str">
        <f t="shared" si="159"/>
        <v>54,5454545454545</v>
      </c>
      <c r="Q188" s="4" t="str">
        <f t="shared" si="160"/>
        <v>1+6,41261551630836i</v>
      </c>
      <c r="R188" s="4">
        <f t="shared" si="171"/>
        <v>6.49011847041321</v>
      </c>
      <c r="S188" s="4">
        <f t="shared" si="172"/>
        <v>1.41609966322682</v>
      </c>
      <c r="T188" s="4" t="str">
        <f t="shared" si="161"/>
        <v>1+0,0493771394755745i</v>
      </c>
      <c r="U188" s="4">
        <f t="shared" si="173"/>
        <v>1.00121830881321</v>
      </c>
      <c r="V188" s="4">
        <f t="shared" si="174"/>
        <v>0.0493370692438767</v>
      </c>
      <c r="W188" t="str">
        <f t="shared" si="162"/>
        <v>1-0,141707351811279i</v>
      </c>
      <c r="X188" s="4">
        <f t="shared" si="175"/>
        <v>1.00999058092507</v>
      </c>
      <c r="Y188" s="4">
        <f t="shared" si="176"/>
        <v>-0.140770078446062</v>
      </c>
      <c r="Z188" t="str">
        <f t="shared" si="163"/>
        <v>0,999997949480464+0,0097845552441121i</v>
      </c>
      <c r="AA188" s="4">
        <f t="shared" si="177"/>
        <v>1.00004581719362</v>
      </c>
      <c r="AB188" s="4">
        <f t="shared" si="178"/>
        <v>0.00978426307390067</v>
      </c>
      <c r="AC188" s="67" t="str">
        <f t="shared" si="179"/>
        <v>0,454267396719985-8,48615191850983i</v>
      </c>
      <c r="AD188" s="68">
        <f t="shared" si="180"/>
        <v>18.5866429883908</v>
      </c>
      <c r="AE188" s="31">
        <f t="shared" si="181"/>
        <v>-86.9358565880402</v>
      </c>
      <c r="AF188" s="32" t="str">
        <f t="shared" si="182"/>
        <v>432,040091031901</v>
      </c>
      <c r="AG188" s="32" t="str">
        <f t="shared" si="164"/>
        <v>1+5,22509412439941i</v>
      </c>
      <c r="AH188" s="32">
        <f t="shared" si="183"/>
        <v>5.31992562061099</v>
      </c>
      <c r="AI188" s="32">
        <f t="shared" si="184"/>
        <v>1.38169883340104</v>
      </c>
      <c r="AJ188" s="32" t="str">
        <f t="shared" si="165"/>
        <v>1+0,0493771394755745i</v>
      </c>
      <c r="AK188" s="32">
        <f t="shared" si="185"/>
        <v>1.00121830881321</v>
      </c>
      <c r="AL188" s="32">
        <f t="shared" si="186"/>
        <v>0.0493370692438767</v>
      </c>
      <c r="AM188" s="32" t="str">
        <f t="shared" si="166"/>
        <v>1-0,014577279399158i</v>
      </c>
      <c r="AN188" s="32">
        <f t="shared" si="187"/>
        <v>1.00010624289356</v>
      </c>
      <c r="AO188" s="32">
        <f t="shared" si="188"/>
        <v>-0.0145762469877091</v>
      </c>
      <c r="AP188" s="30" t="str">
        <f t="shared" si="189"/>
        <v>18,0523313298075-79,2901956477763i</v>
      </c>
      <c r="AQ188" s="32">
        <f t="shared" si="190"/>
        <v>38.2038681914101</v>
      </c>
      <c r="AR188" s="31">
        <f t="shared" si="191"/>
        <v>-77.1738633043463</v>
      </c>
      <c r="AS188" t="str">
        <f t="shared" si="167"/>
        <v>-0,000201496259351621</v>
      </c>
      <c r="AT188" t="str">
        <f t="shared" si="168"/>
        <v>0,000707592043377653i</v>
      </c>
      <c r="AU188">
        <f t="shared" si="192"/>
        <v>0.000707592043377653</v>
      </c>
      <c r="AV188">
        <f t="shared" si="193"/>
        <v>1.5707963267949</v>
      </c>
      <c r="AW188" t="str">
        <f t="shared" si="169"/>
        <v>1+0,0362274147685463i</v>
      </c>
      <c r="AX188">
        <f t="shared" si="194"/>
        <v>1.00065599762396</v>
      </c>
      <c r="AY188">
        <f t="shared" si="195"/>
        <v>0.0362115786416303</v>
      </c>
      <c r="AZ188" t="str">
        <f t="shared" si="170"/>
        <v>1+1,73197874436007i</v>
      </c>
      <c r="BA188">
        <f t="shared" si="196"/>
        <v>1.99993759175507</v>
      </c>
      <c r="BB188">
        <f t="shared" si="197"/>
        <v>1.04717953483221</v>
      </c>
      <c r="BC188" s="30" t="str">
        <f t="shared" si="198"/>
        <v>-0,482254854598851+0,30223416646337i</v>
      </c>
      <c r="BD188" s="32">
        <f t="shared" si="199"/>
        <v>-4.89568623383951</v>
      </c>
      <c r="BE188" s="31">
        <f t="shared" si="200"/>
        <v>147.924197112687</v>
      </c>
      <c r="BF188" s="30" t="str">
        <f t="shared" si="201"/>
        <v>2,34573239421815+4,22978308756387i</v>
      </c>
      <c r="BG188" s="68">
        <f t="shared" si="202"/>
        <v>13.6909567545513</v>
      </c>
      <c r="BH188" s="31">
        <f t="shared" si="203"/>
        <v>60.9883405246468</v>
      </c>
      <c r="BI188" s="30" t="str">
        <f t="shared" si="209"/>
        <v>15,2583817696966+43,6941130854178i</v>
      </c>
      <c r="BJ188" s="68">
        <f t="shared" si="204"/>
        <v>33.3081819575706</v>
      </c>
      <c r="BK188" s="31">
        <f t="shared" si="210"/>
        <v>70.7503338083407</v>
      </c>
      <c r="BL188" s="32">
        <f t="shared" si="205"/>
        <v>13.6909567545513</v>
      </c>
      <c r="BM188" s="31">
        <f t="shared" si="206"/>
        <v>60.9883405246468</v>
      </c>
      <c r="BO188">
        <f t="shared" si="207"/>
        <v>0</v>
      </c>
      <c r="BP188">
        <f t="shared" si="208"/>
        <v>0</v>
      </c>
    </row>
    <row r="189" spans="14:68">
      <c r="N189" s="7">
        <v>71</v>
      </c>
      <c r="O189" s="18">
        <f t="shared" si="211"/>
        <v>512.861383991365</v>
      </c>
      <c r="P189" s="86" t="str">
        <f t="shared" si="159"/>
        <v>54,5454545454545</v>
      </c>
      <c r="Q189" s="4" t="str">
        <f t="shared" si="160"/>
        <v>1+6,56198452002918i</v>
      </c>
      <c r="R189" s="4">
        <f t="shared" si="171"/>
        <v>6.63774365587453</v>
      </c>
      <c r="S189" s="4">
        <f t="shared" si="172"/>
        <v>1.41956693795121</v>
      </c>
      <c r="T189" s="4" t="str">
        <f t="shared" si="161"/>
        <v>1+0,0505272808042247i</v>
      </c>
      <c r="U189" s="4">
        <f t="shared" si="173"/>
        <v>1.00127568936106</v>
      </c>
      <c r="V189" s="4">
        <f t="shared" si="174"/>
        <v>0.0504843477313044</v>
      </c>
      <c r="W189" t="str">
        <f t="shared" si="162"/>
        <v>1-0,145008140063145i</v>
      </c>
      <c r="X189" s="4">
        <f t="shared" si="175"/>
        <v>1.01045898515703</v>
      </c>
      <c r="Y189" s="4">
        <f t="shared" si="176"/>
        <v>-0.144004394142216</v>
      </c>
      <c r="Z189" t="str">
        <f t="shared" si="163"/>
        <v>0,999997852842456+0,0100124668138838i</v>
      </c>
      <c r="AA189" s="4">
        <f t="shared" si="177"/>
        <v>1.00004797643974</v>
      </c>
      <c r="AB189" s="4">
        <f t="shared" si="178"/>
        <v>0.0100121537486726</v>
      </c>
      <c r="AC189" s="67" t="str">
        <f t="shared" si="179"/>
        <v>0,396385458011652-8,30415435691892i</v>
      </c>
      <c r="AD189" s="68">
        <f t="shared" si="180"/>
        <v>18.3957923069346</v>
      </c>
      <c r="AE189" s="31">
        <f t="shared" si="181"/>
        <v>-87.2671523937616</v>
      </c>
      <c r="AF189" s="32" t="str">
        <f t="shared" si="182"/>
        <v>432,040091031901</v>
      </c>
      <c r="AG189" s="32" t="str">
        <f t="shared" si="164"/>
        <v>1+5,34680220150525i</v>
      </c>
      <c r="AH189" s="32">
        <f t="shared" si="183"/>
        <v>5.43951227427803</v>
      </c>
      <c r="AI189" s="32">
        <f t="shared" si="184"/>
        <v>1.38590469676783</v>
      </c>
      <c r="AJ189" s="32" t="str">
        <f t="shared" si="165"/>
        <v>1+0,0505272808042247i</v>
      </c>
      <c r="AK189" s="32">
        <f t="shared" si="185"/>
        <v>1.00127568936106</v>
      </c>
      <c r="AL189" s="32">
        <f t="shared" si="186"/>
        <v>0.0504843477313044</v>
      </c>
      <c r="AM189" s="32" t="str">
        <f t="shared" si="166"/>
        <v>1-0,014916827855677i</v>
      </c>
      <c r="AN189" s="32">
        <f t="shared" si="187"/>
        <v>1.00011124968839</v>
      </c>
      <c r="AO189" s="32">
        <f t="shared" si="188"/>
        <v>-0.0149157216135245</v>
      </c>
      <c r="AP189" s="30" t="str">
        <f t="shared" si="189"/>
        <v>17,3929272367788-77,6113983066515i</v>
      </c>
      <c r="AQ189" s="32">
        <f t="shared" si="190"/>
        <v>38.0113214407962</v>
      </c>
      <c r="AR189" s="31">
        <f t="shared" si="191"/>
        <v>-77.368557772527</v>
      </c>
      <c r="AS189" t="str">
        <f t="shared" si="167"/>
        <v>-0,000201496259351621</v>
      </c>
      <c r="AT189" t="str">
        <f t="shared" si="168"/>
        <v>0,00072407397938197i</v>
      </c>
      <c r="AU189">
        <f t="shared" si="192"/>
        <v>0.00072407397938197</v>
      </c>
      <c r="AV189">
        <f t="shared" si="193"/>
        <v>1.5707963267949</v>
      </c>
      <c r="AW189" t="str">
        <f t="shared" si="169"/>
        <v>1+0,0370712596611017i</v>
      </c>
      <c r="AX189">
        <f t="shared" si="194"/>
        <v>1.00068690322841</v>
      </c>
      <c r="AY189">
        <f t="shared" si="195"/>
        <v>0.0370542915744159</v>
      </c>
      <c r="AZ189" t="str">
        <f t="shared" si="170"/>
        <v>1+1,77232171188288i</v>
      </c>
      <c r="BA189">
        <f t="shared" si="196"/>
        <v>2.03497524565078</v>
      </c>
      <c r="BB189">
        <f t="shared" si="197"/>
        <v>1.05709240410672</v>
      </c>
      <c r="BC189" s="30" t="str">
        <f t="shared" si="198"/>
        <v>-0,482225066764969+0,296158005957818i</v>
      </c>
      <c r="BD189" s="32">
        <f t="shared" si="199"/>
        <v>-4.94510075705048</v>
      </c>
      <c r="BE189" s="31">
        <f t="shared" si="200"/>
        <v>148.443878790591</v>
      </c>
      <c r="BF189" s="30" t="str">
        <f t="shared" si="201"/>
        <v>2,2681947915567+4,12186411602724i</v>
      </c>
      <c r="BG189" s="68">
        <f t="shared" si="202"/>
        <v>13.4506915498841</v>
      </c>
      <c r="BH189" s="31">
        <f t="shared" si="203"/>
        <v>61.1767263968297</v>
      </c>
      <c r="BI189" s="30" t="str">
        <f t="shared" si="209"/>
        <v>14,597931464102+42,5772163783614i</v>
      </c>
      <c r="BJ189" s="68">
        <f t="shared" si="204"/>
        <v>33.0662206837457</v>
      </c>
      <c r="BK189" s="31">
        <f t="shared" si="210"/>
        <v>71.0753210180643</v>
      </c>
      <c r="BL189" s="32">
        <f t="shared" si="205"/>
        <v>13.4506915498841</v>
      </c>
      <c r="BM189" s="31">
        <f t="shared" si="206"/>
        <v>61.1767263968297</v>
      </c>
      <c r="BO189">
        <f t="shared" si="207"/>
        <v>0</v>
      </c>
      <c r="BP189">
        <f t="shared" si="208"/>
        <v>0</v>
      </c>
    </row>
    <row r="190" spans="14:68">
      <c r="N190" s="7">
        <v>72</v>
      </c>
      <c r="O190" s="18">
        <f t="shared" si="211"/>
        <v>524.807460249772</v>
      </c>
      <c r="P190" s="86" t="str">
        <f t="shared" si="159"/>
        <v>54,5454545454545</v>
      </c>
      <c r="Q190" s="4" t="str">
        <f t="shared" si="160"/>
        <v>1+6,71483277480063i</v>
      </c>
      <c r="R190" s="4">
        <f t="shared" si="171"/>
        <v>6.78888644724131</v>
      </c>
      <c r="S190" s="4">
        <f t="shared" si="172"/>
        <v>1.42295883214231</v>
      </c>
      <c r="T190" s="4" t="str">
        <f t="shared" si="161"/>
        <v>1+0,051704212365965i</v>
      </c>
      <c r="U190" s="4">
        <f t="shared" si="173"/>
        <v>1.00133577064658</v>
      </c>
      <c r="V190" s="4">
        <f t="shared" si="174"/>
        <v>0.0516582120632828</v>
      </c>
      <c r="W190" t="str">
        <f t="shared" si="162"/>
        <v>1-0,148385813550282i</v>
      </c>
      <c r="X190" s="4">
        <f t="shared" si="175"/>
        <v>1.01094923199089</v>
      </c>
      <c r="Y190" s="4">
        <f t="shared" si="176"/>
        <v>-0.14731090855067</v>
      </c>
      <c r="Z190" t="str">
        <f t="shared" si="163"/>
        <v>0,999997751650038+0,0102456871260909i</v>
      </c>
      <c r="AA190" s="4">
        <f t="shared" si="177"/>
        <v>1.00005023744301</v>
      </c>
      <c r="AB190" s="4">
        <f t="shared" si="178"/>
        <v>0.0102453516715829</v>
      </c>
      <c r="AC190" s="67" t="str">
        <f t="shared" si="179"/>
        <v>0,34099079311145-8,12578308257125i</v>
      </c>
      <c r="AD190" s="68">
        <f t="shared" si="180"/>
        <v>18.2049456140842</v>
      </c>
      <c r="AE190" s="31">
        <f t="shared" si="181"/>
        <v>-87.5970467208009</v>
      </c>
      <c r="AF190" s="32" t="str">
        <f t="shared" si="182"/>
        <v>432,040091031901</v>
      </c>
      <c r="AG190" s="32" t="str">
        <f t="shared" si="164"/>
        <v>1+5,47134522391163i</v>
      </c>
      <c r="AH190" s="32">
        <f t="shared" si="183"/>
        <v>5.56197973380168</v>
      </c>
      <c r="AI190" s="32">
        <f t="shared" si="184"/>
        <v>1.39002122657451</v>
      </c>
      <c r="AJ190" s="32" t="str">
        <f t="shared" si="165"/>
        <v>1+0,051704212365965i</v>
      </c>
      <c r="AK190" s="32">
        <f t="shared" si="185"/>
        <v>1.00133577064658</v>
      </c>
      <c r="AL190" s="32">
        <f t="shared" si="186"/>
        <v>0.0516582120632828</v>
      </c>
      <c r="AM190" s="32" t="str">
        <f t="shared" si="166"/>
        <v>1-0,0152642854117726i</v>
      </c>
      <c r="AN190" s="32">
        <f t="shared" si="187"/>
        <v>1.00011649241932</v>
      </c>
      <c r="AO190" s="32">
        <f t="shared" si="188"/>
        <v>-0.0152631000594068</v>
      </c>
      <c r="AP190" s="30" t="str">
        <f t="shared" si="189"/>
        <v>16,7612373048099-75,9630063160363i</v>
      </c>
      <c r="AQ190" s="32">
        <f t="shared" si="190"/>
        <v>37.818499332056</v>
      </c>
      <c r="AR190" s="31">
        <f t="shared" si="191"/>
        <v>-77.5570634035892</v>
      </c>
      <c r="AS190" t="str">
        <f t="shared" si="167"/>
        <v>-0,000201496259351621</v>
      </c>
      <c r="AT190" t="str">
        <f t="shared" si="168"/>
        <v>0,000740939828994409i</v>
      </c>
      <c r="AU190">
        <f t="shared" si="192"/>
        <v>0.000740939828994409</v>
      </c>
      <c r="AV190">
        <f t="shared" si="193"/>
        <v>1.5707963267949</v>
      </c>
      <c r="AW190" t="str">
        <f t="shared" si="169"/>
        <v>1+0,0379347602262255i</v>
      </c>
      <c r="AX190">
        <f t="shared" si="194"/>
        <v>1.00071926434611</v>
      </c>
      <c r="AY190">
        <f t="shared" si="195"/>
        <v>0.0379165792994825</v>
      </c>
      <c r="AZ190" t="str">
        <f t="shared" si="170"/>
        <v>1+1,81360438783678i</v>
      </c>
      <c r="BA190">
        <f t="shared" si="196"/>
        <v>2.0710289412707</v>
      </c>
      <c r="BB190">
        <f t="shared" si="197"/>
        <v>1.06688796903002</v>
      </c>
      <c r="BC190" s="30" t="str">
        <f t="shared" si="198"/>
        <v>-0,482193879017557+0,290238768383632i</v>
      </c>
      <c r="BD190" s="32">
        <f t="shared" si="199"/>
        <v>-4.99284089915399</v>
      </c>
      <c r="BE190" s="31">
        <f t="shared" si="200"/>
        <v>148.955717871271</v>
      </c>
      <c r="BF190" s="30" t="str">
        <f t="shared" si="201"/>
        <v>2,19399360079835+4,0171716124631i</v>
      </c>
      <c r="BG190" s="68">
        <f t="shared" si="202"/>
        <v>13.2121047149302</v>
      </c>
      <c r="BH190" s="31">
        <f t="shared" si="203"/>
        <v>61.3586711504697</v>
      </c>
      <c r="BI190" s="30" t="str">
        <f t="shared" si="209"/>
        <v>13,9652433627444+41,4936575492985i</v>
      </c>
      <c r="BJ190" s="68">
        <f t="shared" si="204"/>
        <v>32.825658432902</v>
      </c>
      <c r="BK190" s="31">
        <f t="shared" si="210"/>
        <v>71.3986544676813</v>
      </c>
      <c r="BL190" s="32">
        <f t="shared" si="205"/>
        <v>13.2121047149302</v>
      </c>
      <c r="BM190" s="31">
        <f t="shared" si="206"/>
        <v>61.3586711504697</v>
      </c>
      <c r="BO190">
        <f t="shared" si="207"/>
        <v>0</v>
      </c>
      <c r="BP190">
        <f t="shared" si="208"/>
        <v>0</v>
      </c>
    </row>
    <row r="191" spans="14:68">
      <c r="N191" s="7">
        <v>73</v>
      </c>
      <c r="O191" s="18">
        <f t="shared" si="211"/>
        <v>537.031796370253</v>
      </c>
      <c r="P191" s="86" t="str">
        <f t="shared" si="159"/>
        <v>54,5454545454545</v>
      </c>
      <c r="Q191" s="4" t="str">
        <f t="shared" si="160"/>
        <v>1+6,87124132279063i</v>
      </c>
      <c r="R191" s="4">
        <f t="shared" si="171"/>
        <v>6.94362710087642</v>
      </c>
      <c r="S191" s="4">
        <f t="shared" si="172"/>
        <v>1.42627683187746</v>
      </c>
      <c r="T191" s="4" t="str">
        <f t="shared" si="161"/>
        <v>1+0,0529085581854879i</v>
      </c>
      <c r="U191" s="4">
        <f t="shared" si="173"/>
        <v>1.0013986796123</v>
      </c>
      <c r="V191" s="4">
        <f t="shared" si="174"/>
        <v>0.0528592716905927</v>
      </c>
      <c r="W191" t="str">
        <f t="shared" si="162"/>
        <v>1-0,151842163159882i</v>
      </c>
      <c r="X191" s="4">
        <f t="shared" si="175"/>
        <v>1.01146232876616</v>
      </c>
      <c r="Y191" s="4">
        <f t="shared" si="176"/>
        <v>-0.150691085476838</v>
      </c>
      <c r="Z191" t="str">
        <f t="shared" si="163"/>
        <v>0,999997645688569+0,01048433983723i</v>
      </c>
      <c r="AA191" s="4">
        <f t="shared" si="177"/>
        <v>1.00005260499861</v>
      </c>
      <c r="AB191" s="4">
        <f t="shared" si="178"/>
        <v>0.0104839803922693</v>
      </c>
      <c r="AC191" s="67" t="str">
        <f t="shared" si="179"/>
        <v>0,287981206631368-7,95099313077285i</v>
      </c>
      <c r="AD191" s="68">
        <f t="shared" si="180"/>
        <v>18.0141211412409</v>
      </c>
      <c r="AE191" s="31">
        <f t="shared" si="181"/>
        <v>-87.925680744905</v>
      </c>
      <c r="AF191" s="32" t="str">
        <f t="shared" si="182"/>
        <v>432,040091031901</v>
      </c>
      <c r="AG191" s="32" t="str">
        <f t="shared" si="164"/>
        <v>1+5,59878922597755i</v>
      </c>
      <c r="AH191" s="32">
        <f t="shared" si="183"/>
        <v>5.68739314597842</v>
      </c>
      <c r="AI191" s="32">
        <f t="shared" si="184"/>
        <v>1.39405004712268</v>
      </c>
      <c r="AJ191" s="32" t="str">
        <f t="shared" si="165"/>
        <v>1+0,0529085581854879i</v>
      </c>
      <c r="AK191" s="32">
        <f t="shared" si="185"/>
        <v>1.0013986796123</v>
      </c>
      <c r="AL191" s="32">
        <f t="shared" si="186"/>
        <v>0.0528592716905927</v>
      </c>
      <c r="AM191" s="32" t="str">
        <f t="shared" si="166"/>
        <v>1-0,0156198362940402i</v>
      </c>
      <c r="AN191" s="32">
        <f t="shared" si="187"/>
        <v>1.0001219822031</v>
      </c>
      <c r="AO191" s="32">
        <f t="shared" si="188"/>
        <v>-0.0156185661744634</v>
      </c>
      <c r="AP191" s="30" t="str">
        <f t="shared" si="189"/>
        <v>16,1561787904814-74,3448169446702i</v>
      </c>
      <c r="AQ191" s="32">
        <f t="shared" si="190"/>
        <v>37.6254157206828</v>
      </c>
      <c r="AR191" s="31">
        <f t="shared" si="191"/>
        <v>-77.7394488779796</v>
      </c>
      <c r="AS191" t="str">
        <f t="shared" si="167"/>
        <v>-0,000201496259351621</v>
      </c>
      <c r="AT191" t="str">
        <f t="shared" si="168"/>
        <v>0,00075819853471168i</v>
      </c>
      <c r="AU191">
        <f t="shared" si="192"/>
        <v>0.00075819853471168</v>
      </c>
      <c r="AV191">
        <f t="shared" si="193"/>
        <v>1.5707963267949</v>
      </c>
      <c r="AW191" t="str">
        <f t="shared" si="169"/>
        <v>1+0,0388183743033473i</v>
      </c>
      <c r="AX191">
        <f t="shared" si="194"/>
        <v>1.00075314947471</v>
      </c>
      <c r="AY191">
        <f t="shared" si="195"/>
        <v>0.0387988938811041</v>
      </c>
      <c r="AZ191" t="str">
        <f t="shared" si="170"/>
        <v>1+1,855848660843i</v>
      </c>
      <c r="BA191">
        <f t="shared" si="196"/>
        <v>2.10812102402892</v>
      </c>
      <c r="BB191">
        <f t="shared" si="197"/>
        <v>1.07656390331137</v>
      </c>
      <c r="BC191" s="30" t="str">
        <f t="shared" si="198"/>
        <v>-0,482161225760377+0,284473307868932i</v>
      </c>
      <c r="BD191" s="32">
        <f t="shared" si="199"/>
        <v>-5.03894757457755</v>
      </c>
      <c r="BE191" s="31">
        <f t="shared" si="200"/>
        <v>149.459555166708</v>
      </c>
      <c r="BF191" s="30" t="str">
        <f t="shared" si="201"/>
        <v>2,12299194516878+3,91558356040029i</v>
      </c>
      <c r="BG191" s="68">
        <f t="shared" si="202"/>
        <v>12.9751735666634</v>
      </c>
      <c r="BH191" s="31">
        <f t="shared" si="203"/>
        <v>61.5338744218032</v>
      </c>
      <c r="BI191" s="30" t="str">
        <f t="shared" si="209"/>
        <v>13,3592330299382+40,4421896900231i</v>
      </c>
      <c r="BJ191" s="68">
        <f t="shared" si="204"/>
        <v>32.5864681461053</v>
      </c>
      <c r="BK191" s="31">
        <f t="shared" si="210"/>
        <v>71.7201062887287</v>
      </c>
      <c r="BL191" s="32">
        <f t="shared" si="205"/>
        <v>12.9751735666634</v>
      </c>
      <c r="BM191" s="31">
        <f t="shared" si="206"/>
        <v>61.5338744218032</v>
      </c>
      <c r="BO191">
        <f t="shared" si="207"/>
        <v>0</v>
      </c>
      <c r="BP191">
        <f t="shared" si="208"/>
        <v>0</v>
      </c>
    </row>
    <row r="192" spans="14:68">
      <c r="N192" s="7">
        <v>74</v>
      </c>
      <c r="O192" s="18">
        <f t="shared" si="211"/>
        <v>549.540873857625</v>
      </c>
      <c r="P192" s="86" t="str">
        <f t="shared" si="159"/>
        <v>54,5454545454545</v>
      </c>
      <c r="Q192" s="4" t="str">
        <f t="shared" si="160"/>
        <v>1+7,0312930938816i</v>
      </c>
      <c r="R192" s="4">
        <f t="shared" si="171"/>
        <v>7.10204777314734</v>
      </c>
      <c r="S192" s="4">
        <f t="shared" si="172"/>
        <v>1.42952240402614</v>
      </c>
      <c r="T192" s="4" t="str">
        <f t="shared" si="161"/>
        <v>1+0,0541409568228884i</v>
      </c>
      <c r="U192" s="4">
        <f t="shared" si="173"/>
        <v>1.00146454915074</v>
      </c>
      <c r="V192" s="4">
        <f t="shared" si="174"/>
        <v>0.0540881495624304</v>
      </c>
      <c r="W192" t="str">
        <f t="shared" si="162"/>
        <v>1-0,155379021494259i</v>
      </c>
      <c r="X192" s="4">
        <f t="shared" si="175"/>
        <v>1.01199932822137</v>
      </c>
      <c r="Y192" s="4">
        <f t="shared" si="176"/>
        <v>-0.154146408011143</v>
      </c>
      <c r="Z192" t="str">
        <f t="shared" si="163"/>
        <v>0,999997534733289+0,0107285514841274i</v>
      </c>
      <c r="AA192" s="4">
        <f t="shared" si="177"/>
        <v>1.00005508412767</v>
      </c>
      <c r="AB192" s="4">
        <f t="shared" si="178"/>
        <v>0.0107281663330581</v>
      </c>
      <c r="AC192" s="67" t="str">
        <f t="shared" si="179"/>
        <v>0,237258271633872-7,77973835846959i</v>
      </c>
      <c r="AD192" s="68">
        <f t="shared" si="180"/>
        <v>17.8233371668366</v>
      </c>
      <c r="AE192" s="31">
        <f t="shared" si="181"/>
        <v>-88.2531950374319</v>
      </c>
      <c r="AF192" s="32" t="str">
        <f t="shared" si="182"/>
        <v>432,040091031901</v>
      </c>
      <c r="AG192" s="32" t="str">
        <f t="shared" si="164"/>
        <v>1+5,72920178019982i</v>
      </c>
      <c r="AH192" s="32">
        <f t="shared" si="183"/>
        <v>5.81581920611747</v>
      </c>
      <c r="AI192" s="32">
        <f t="shared" si="184"/>
        <v>1.39799277114126</v>
      </c>
      <c r="AJ192" s="32" t="str">
        <f t="shared" si="165"/>
        <v>1+0,0541409568228884i</v>
      </c>
      <c r="AK192" s="32">
        <f t="shared" si="185"/>
        <v>1.00146454915074</v>
      </c>
      <c r="AL192" s="32">
        <f t="shared" si="186"/>
        <v>0.0540881495624304</v>
      </c>
      <c r="AM192" s="32" t="str">
        <f t="shared" si="166"/>
        <v>1-0,015983669020264i</v>
      </c>
      <c r="AN192" s="32">
        <f t="shared" si="187"/>
        <v>1.00012773068011</v>
      </c>
      <c r="AO192" s="32">
        <f t="shared" si="188"/>
        <v>-0.0159823080720048</v>
      </c>
      <c r="AP192" s="30" t="str">
        <f t="shared" si="189"/>
        <v>15,5767042147445-72,7566034209841i</v>
      </c>
      <c r="AQ192" s="32">
        <f t="shared" si="190"/>
        <v>37.4320840214814</v>
      </c>
      <c r="AR192" s="31">
        <f t="shared" si="191"/>
        <v>-77.9157816839967</v>
      </c>
      <c r="AS192" t="str">
        <f t="shared" si="167"/>
        <v>-0,000201496259351621</v>
      </c>
      <c r="AT192" t="str">
        <f t="shared" si="168"/>
        <v>0,000775859247327998i</v>
      </c>
      <c r="AU192">
        <f t="shared" si="192"/>
        <v>0.000775859247327998</v>
      </c>
      <c r="AV192">
        <f t="shared" si="193"/>
        <v>1.5707963267949</v>
      </c>
      <c r="AW192" t="str">
        <f t="shared" si="169"/>
        <v>1+0,0397225703963466i</v>
      </c>
      <c r="AX192">
        <f t="shared" si="194"/>
        <v>1.00078863033055</v>
      </c>
      <c r="AY192">
        <f t="shared" si="195"/>
        <v>0.0397016976361079</v>
      </c>
      <c r="AZ192" t="str">
        <f t="shared" si="170"/>
        <v>1+1,89907692937427i</v>
      </c>
      <c r="BA192">
        <f t="shared" si="196"/>
        <v>2.14627425639912</v>
      </c>
      <c r="BB192">
        <f t="shared" si="197"/>
        <v>1.0861180893151</v>
      </c>
      <c r="BC192" s="30" t="str">
        <f t="shared" si="198"/>
        <v>-0,482127038342243+0,27885855954887i</v>
      </c>
      <c r="BD192" s="32">
        <f t="shared" si="199"/>
        <v>-5.08346198019931</v>
      </c>
      <c r="BE192" s="31">
        <f t="shared" si="200"/>
        <v>149.955242856515</v>
      </c>
      <c r="BF192" s="30" t="str">
        <f t="shared" si="201"/>
        <v>2,05505800448488+3,81698371371536i</v>
      </c>
      <c r="BG192" s="68">
        <f t="shared" si="202"/>
        <v>12.7398751866372</v>
      </c>
      <c r="BH192" s="31">
        <f t="shared" si="203"/>
        <v>61.7020478190831</v>
      </c>
      <c r="BI192" s="30" t="str">
        <f t="shared" si="209"/>
        <v>12,7788513574561+39,4216230270426i</v>
      </c>
      <c r="BJ192" s="68">
        <f t="shared" si="204"/>
        <v>32.348622041282</v>
      </c>
      <c r="BK192" s="31">
        <f t="shared" si="210"/>
        <v>72.0394611725182</v>
      </c>
      <c r="BL192" s="32">
        <f t="shared" si="205"/>
        <v>12.7398751866372</v>
      </c>
      <c r="BM192" s="31">
        <f t="shared" si="206"/>
        <v>61.7020478190831</v>
      </c>
      <c r="BO192">
        <f t="shared" si="207"/>
        <v>0</v>
      </c>
      <c r="BP192">
        <f t="shared" si="208"/>
        <v>0</v>
      </c>
    </row>
    <row r="193" spans="14:68">
      <c r="N193" s="7">
        <v>75</v>
      </c>
      <c r="O193" s="18">
        <f t="shared" si="211"/>
        <v>562.341325190349</v>
      </c>
      <c r="P193" s="86" t="str">
        <f t="shared" si="159"/>
        <v>54,5454545454545</v>
      </c>
      <c r="Q193" s="4" t="str">
        <f t="shared" si="160"/>
        <v>1+7,1950729496411i</v>
      </c>
      <c r="R193" s="4">
        <f t="shared" si="171"/>
        <v>7.2642325644666</v>
      </c>
      <c r="S193" s="4">
        <f t="shared" si="172"/>
        <v>1.43269699578687</v>
      </c>
      <c r="T193" s="4" t="str">
        <f t="shared" si="161"/>
        <v>1+0,0554020617122365i</v>
      </c>
      <c r="U193" s="4">
        <f t="shared" si="173"/>
        <v>1.00153351838167</v>
      </c>
      <c r="V193" s="4">
        <f t="shared" si="174"/>
        <v>0.0553454823914633</v>
      </c>
      <c r="W193" t="str">
        <f t="shared" si="162"/>
        <v>1-0,158998263842516i</v>
      </c>
      <c r="X193" s="4">
        <f t="shared" si="175"/>
        <v>1.01256133044124</v>
      </c>
      <c r="Y193" s="4">
        <f t="shared" si="176"/>
        <v>-0.157678378009663</v>
      </c>
      <c r="Z193" t="str">
        <f t="shared" si="163"/>
        <v>0,999997418548849+0,0109784515510308i</v>
      </c>
      <c r="AA193" s="4">
        <f t="shared" si="177"/>
        <v>1.00005768008791</v>
      </c>
      <c r="AB193" s="4">
        <f t="shared" si="178"/>
        <v>0.0109780388555095</v>
      </c>
      <c r="AC193" s="67" t="str">
        <f t="shared" si="179"/>
        <v>0,188727227433298-7,61197160083448i</v>
      </c>
      <c r="AD193" s="68">
        <f t="shared" si="180"/>
        <v>17.6326120457613</v>
      </c>
      <c r="AE193" s="31">
        <f t="shared" si="181"/>
        <v>-88.579729497687</v>
      </c>
      <c r="AF193" s="32" t="str">
        <f t="shared" si="182"/>
        <v>432,040091031901</v>
      </c>
      <c r="AG193" s="32" t="str">
        <f t="shared" si="164"/>
        <v>1+5,8626520330409i</v>
      </c>
      <c r="AH193" s="32">
        <f t="shared" si="183"/>
        <v>5.94732619422532</v>
      </c>
      <c r="AI193" s="32">
        <f t="shared" si="184"/>
        <v>1.4018509985517</v>
      </c>
      <c r="AJ193" s="32" t="str">
        <f t="shared" si="165"/>
        <v>1+0,0554020617122365i</v>
      </c>
      <c r="AK193" s="32">
        <f t="shared" si="185"/>
        <v>1.00153351838167</v>
      </c>
      <c r="AL193" s="32">
        <f t="shared" si="186"/>
        <v>0.0553454823914633</v>
      </c>
      <c r="AM193" s="32" t="str">
        <f t="shared" si="166"/>
        <v>1-0,0163559764993711i</v>
      </c>
      <c r="AN193" s="32">
        <f t="shared" si="187"/>
        <v>1.00013375003909</v>
      </c>
      <c r="AO193" s="32">
        <f t="shared" si="188"/>
        <v>-0.0163545182275705</v>
      </c>
      <c r="AP193" s="30" t="str">
        <f t="shared" si="189"/>
        <v>15,0218008365703-71,1981170046484i</v>
      </c>
      <c r="AQ193" s="32">
        <f t="shared" si="190"/>
        <v>37.2385172274506</v>
      </c>
      <c r="AR193" s="31">
        <f t="shared" si="191"/>
        <v>-78.0861280374755</v>
      </c>
      <c r="AS193" t="str">
        <f t="shared" si="167"/>
        <v>-0,000201496259351621</v>
      </c>
      <c r="AT193" t="str">
        <f t="shared" si="168"/>
        <v>0,000793931330786961i</v>
      </c>
      <c r="AU193">
        <f t="shared" si="192"/>
        <v>0.000793931330786961</v>
      </c>
      <c r="AV193">
        <f t="shared" si="193"/>
        <v>1.5707963267949</v>
      </c>
      <c r="AW193" t="str">
        <f t="shared" si="169"/>
        <v>1+0,0406478279219604i</v>
      </c>
      <c r="AX193">
        <f t="shared" si="194"/>
        <v>1.00082578199943</v>
      </c>
      <c r="AY193">
        <f t="shared" si="195"/>
        <v>0.0406254633529619</v>
      </c>
      <c r="AZ193" t="str">
        <f t="shared" si="170"/>
        <v>1+1,94331211363074i</v>
      </c>
      <c r="BA193">
        <f t="shared" si="196"/>
        <v>2.18551183272568</v>
      </c>
      <c r="BB193">
        <f t="shared" si="197"/>
        <v>1.0955486149369</v>
      </c>
      <c r="BC193" s="30" t="str">
        <f t="shared" si="198"/>
        <v>-0,482091244916536+0,273391537903196i</v>
      </c>
      <c r="BD193" s="32">
        <f t="shared" si="199"/>
        <v>-5.12642550037882</v>
      </c>
      <c r="BE193" s="31">
        <f t="shared" si="200"/>
        <v>150.442644296399</v>
      </c>
      <c r="BF193" s="30" t="str">
        <f t="shared" si="201"/>
        <v>1,99006487840463+3,72126129226781i</v>
      </c>
      <c r="BG193" s="68">
        <f t="shared" si="202"/>
        <v>12.5061865453825</v>
      </c>
      <c r="BH193" s="31">
        <f t="shared" si="203"/>
        <v>61.862914798712</v>
      </c>
      <c r="BI193" s="30" t="str">
        <f t="shared" si="209"/>
        <v>12,2230840375221+38,4308220952696i</v>
      </c>
      <c r="BJ193" s="68">
        <f t="shared" si="204"/>
        <v>32.1120917270718</v>
      </c>
      <c r="BK193" s="31">
        <f t="shared" si="210"/>
        <v>72.3565162589234</v>
      </c>
      <c r="BL193" s="32">
        <f t="shared" si="205"/>
        <v>12.5061865453825</v>
      </c>
      <c r="BM193" s="31">
        <f t="shared" si="206"/>
        <v>61.862914798712</v>
      </c>
      <c r="BO193">
        <f t="shared" si="207"/>
        <v>0</v>
      </c>
      <c r="BP193">
        <f t="shared" si="208"/>
        <v>0</v>
      </c>
    </row>
    <row r="194" spans="14:68">
      <c r="N194" s="7">
        <v>76</v>
      </c>
      <c r="O194" s="18">
        <f t="shared" si="211"/>
        <v>575.439937337157</v>
      </c>
      <c r="P194" s="86" t="str">
        <f t="shared" si="159"/>
        <v>54,5454545454545</v>
      </c>
      <c r="Q194" s="4" t="str">
        <f t="shared" si="160"/>
        <v>1+7,36266772831656i</v>
      </c>
      <c r="R194" s="4">
        <f t="shared" si="171"/>
        <v>7.43026756433402</v>
      </c>
      <c r="S194" s="4">
        <f t="shared" si="172"/>
        <v>1.43580203428699</v>
      </c>
      <c r="T194" s="4" t="str">
        <f t="shared" si="161"/>
        <v>1+0,0566925415080376i</v>
      </c>
      <c r="U194" s="4">
        <f t="shared" si="173"/>
        <v>1.00160573294218</v>
      </c>
      <c r="V194" s="4">
        <f t="shared" si="174"/>
        <v>0.0566319209215935</v>
      </c>
      <c r="W194" t="str">
        <f t="shared" si="162"/>
        <v>1-0,162701809174853i</v>
      </c>
      <c r="X194" s="4">
        <f t="shared" si="175"/>
        <v>1.01314948487811</v>
      </c>
      <c r="Y194" s="4">
        <f t="shared" si="176"/>
        <v>-0.161288515503847</v>
      </c>
      <c r="Z194" t="str">
        <f t="shared" si="163"/>
        <v>0,999997296888804+0,0112341725382636i</v>
      </c>
      <c r="AA194" s="4">
        <f t="shared" si="177"/>
        <v>1.00006039838478</v>
      </c>
      <c r="AB194" s="4">
        <f t="shared" si="178"/>
        <v>0.011233730328487</v>
      </c>
      <c r="AC194" s="67" t="str">
        <f t="shared" si="179"/>
        <v>0,142296876658132-7,44764481770736i</v>
      </c>
      <c r="AD194" s="68">
        <f t="shared" si="180"/>
        <v>17.441964238886</v>
      </c>
      <c r="AE194" s="31">
        <f t="shared" si="181"/>
        <v>-88.9054232847275</v>
      </c>
      <c r="AF194" s="32" t="str">
        <f t="shared" si="182"/>
        <v>432,040091031901</v>
      </c>
      <c r="AG194" s="32" t="str">
        <f t="shared" si="164"/>
        <v>1+5,99921074159127i</v>
      </c>
      <c r="AH194" s="32">
        <f t="shared" si="183"/>
        <v>6.0819840119836</v>
      </c>
      <c r="AI194" s="32">
        <f t="shared" si="184"/>
        <v>1.40562631534143</v>
      </c>
      <c r="AJ194" s="32" t="str">
        <f t="shared" si="165"/>
        <v>1+0,0566925415080376i</v>
      </c>
      <c r="AK194" s="32">
        <f t="shared" si="185"/>
        <v>1.00160573294218</v>
      </c>
      <c r="AL194" s="32">
        <f t="shared" si="186"/>
        <v>0.0566319209215935</v>
      </c>
      <c r="AM194" s="32" t="str">
        <f t="shared" si="166"/>
        <v>1-0,0167369561337152i</v>
      </c>
      <c r="AN194" s="32">
        <f t="shared" si="187"/>
        <v>1.00014005304288</v>
      </c>
      <c r="AO194" s="32">
        <f t="shared" si="188"/>
        <v>-0.0167353935791461</v>
      </c>
      <c r="AP194" s="30" t="str">
        <f t="shared" si="189"/>
        <v>14,4904900718548-69,6690889476381i</v>
      </c>
      <c r="AQ194" s="32">
        <f t="shared" si="190"/>
        <v>37.0447279285248</v>
      </c>
      <c r="AR194" s="31">
        <f t="shared" si="191"/>
        <v>-78.2505528076385</v>
      </c>
      <c r="AS194" t="str">
        <f t="shared" si="167"/>
        <v>-0,000201496259351621</v>
      </c>
      <c r="AT194" t="str">
        <f t="shared" si="168"/>
        <v>0,00081242436714643i</v>
      </c>
      <c r="AU194">
        <f t="shared" si="192"/>
        <v>0.00081242436714643</v>
      </c>
      <c r="AV194">
        <f t="shared" si="193"/>
        <v>1.5707963267949</v>
      </c>
      <c r="AW194" t="str">
        <f t="shared" si="169"/>
        <v>1+0,0415946374639761i</v>
      </c>
      <c r="AX194">
        <f t="shared" si="194"/>
        <v>1.00086468309445</v>
      </c>
      <c r="AY194">
        <f t="shared" si="195"/>
        <v>0.041570674514568</v>
      </c>
      <c r="AZ194" t="str">
        <f t="shared" si="170"/>
        <v>1+1,98857766769264i</v>
      </c>
      <c r="BA194">
        <f t="shared" si="196"/>
        <v>2.22585739445408</v>
      </c>
      <c r="BB194">
        <f t="shared" si="197"/>
        <v>1.10485376988014</v>
      </c>
      <c r="BC194" s="30" t="str">
        <f t="shared" si="198"/>
        <v>-0,482053770294469+0,268069335133236i</v>
      </c>
      <c r="BD194" s="32">
        <f t="shared" si="199"/>
        <v>-5.16787961624088</v>
      </c>
      <c r="BE194" s="31">
        <f t="shared" si="200"/>
        <v>150.921633792053</v>
      </c>
      <c r="BF194" s="30" t="str">
        <f t="shared" si="201"/>
        <v>1,92789044869712+3,62831069330718i</v>
      </c>
      <c r="BG194" s="68">
        <f t="shared" si="202"/>
        <v>12.2740846226451</v>
      </c>
      <c r="BH194" s="31">
        <f t="shared" si="203"/>
        <v>62.016210507326</v>
      </c>
      <c r="BI194" s="30" t="str">
        <f t="shared" si="209"/>
        <v>11,6909509809794+37,4687030395065i</v>
      </c>
      <c r="BJ194" s="68">
        <f t="shared" si="204"/>
        <v>31.8768483122839</v>
      </c>
      <c r="BK194" s="31">
        <f t="shared" si="210"/>
        <v>72.671080984415</v>
      </c>
      <c r="BL194" s="32">
        <f t="shared" si="205"/>
        <v>12.2740846226451</v>
      </c>
      <c r="BM194" s="31">
        <f t="shared" si="206"/>
        <v>62.016210507326</v>
      </c>
      <c r="BO194">
        <f t="shared" si="207"/>
        <v>0</v>
      </c>
      <c r="BP194">
        <f t="shared" si="208"/>
        <v>0</v>
      </c>
    </row>
    <row r="195" spans="14:68">
      <c r="N195" s="7">
        <v>77</v>
      </c>
      <c r="O195" s="18">
        <f t="shared" si="211"/>
        <v>588.84365535559</v>
      </c>
      <c r="P195" s="86" t="str">
        <f t="shared" si="159"/>
        <v>54,5454545454545</v>
      </c>
      <c r="Q195" s="4" t="str">
        <f t="shared" si="160"/>
        <v>1+7,53416629087799i</v>
      </c>
      <c r="R195" s="4">
        <f t="shared" si="171"/>
        <v>7.60024089740596</v>
      </c>
      <c r="S195" s="4">
        <f t="shared" si="172"/>
        <v>1.43883892624099</v>
      </c>
      <c r="T195" s="4" t="str">
        <f t="shared" si="161"/>
        <v>1+0,0580130804397606i</v>
      </c>
      <c r="U195" s="4">
        <f t="shared" si="173"/>
        <v>1.00168134529006</v>
      </c>
      <c r="V195" s="4">
        <f t="shared" si="174"/>
        <v>0.0579481301982487</v>
      </c>
      <c r="W195" t="str">
        <f t="shared" si="162"/>
        <v>1-0,166491621160027i</v>
      </c>
      <c r="X195" s="4">
        <f t="shared" si="175"/>
        <v>1.01376499244968</v>
      </c>
      <c r="Y195" s="4">
        <f t="shared" si="176"/>
        <v>-0.164978358034628</v>
      </c>
      <c r="Z195" t="str">
        <f t="shared" si="163"/>
        <v>0,999997169495098+0,0114958500324781i</v>
      </c>
      <c r="AA195" s="4">
        <f t="shared" si="177"/>
        <v>1.00006324478314</v>
      </c>
      <c r="AB195" s="4">
        <f t="shared" si="178"/>
        <v>0.0114953761977831</v>
      </c>
      <c r="AC195" s="67" t="str">
        <f t="shared" si="179"/>
        <v>0,0978794820003601-7,28670923035959i</v>
      </c>
      <c r="AD195" s="68">
        <f t="shared" si="180"/>
        <v>17.2514123426725</v>
      </c>
      <c r="AE195" s="31">
        <f t="shared" si="181"/>
        <v>-89.23041474814</v>
      </c>
      <c r="AF195" s="32" t="str">
        <f t="shared" si="182"/>
        <v>432,040091031901</v>
      </c>
      <c r="AG195" s="32" t="str">
        <f t="shared" si="164"/>
        <v>1+6,13895031108577i</v>
      </c>
      <c r="AH195" s="32">
        <f t="shared" si="183"/>
        <v>6.21986422054212</v>
      </c>
      <c r="AI195" s="32">
        <f t="shared" si="184"/>
        <v>1.40932029253955</v>
      </c>
      <c r="AJ195" s="32" t="str">
        <f t="shared" si="165"/>
        <v>1+0,0580130804397606i</v>
      </c>
      <c r="AK195" s="32">
        <f t="shared" si="185"/>
        <v>1.00168134529006</v>
      </c>
      <c r="AL195" s="32">
        <f t="shared" si="186"/>
        <v>0.0579481301982487</v>
      </c>
      <c r="AM195" s="32" t="str">
        <f t="shared" si="166"/>
        <v>1-0,0171268099237411i</v>
      </c>
      <c r="AN195" s="32">
        <f t="shared" si="187"/>
        <v>1.00014665305552</v>
      </c>
      <c r="AO195" s="32">
        <f t="shared" si="188"/>
        <v>-0.017125135629614</v>
      </c>
      <c r="AP195" s="30" t="str">
        <f t="shared" si="189"/>
        <v>13,9818268652006-68,1692323479747i</v>
      </c>
      <c r="AQ195" s="32">
        <f t="shared" si="190"/>
        <v>36.850728330153</v>
      </c>
      <c r="AR195" s="31">
        <f t="shared" si="191"/>
        <v>-78.4091194487906</v>
      </c>
      <c r="AS195" t="str">
        <f t="shared" si="167"/>
        <v>-0,000201496259351621</v>
      </c>
      <c r="AT195" t="str">
        <f t="shared" si="168"/>
        <v>0,00083134816165907i</v>
      </c>
      <c r="AU195">
        <f t="shared" si="192"/>
        <v>0.00083134816165907</v>
      </c>
      <c r="AV195">
        <f t="shared" si="193"/>
        <v>1.5707963267949</v>
      </c>
      <c r="AW195" t="str">
        <f t="shared" si="169"/>
        <v>1+0,0425635010333452i</v>
      </c>
      <c r="AX195">
        <f t="shared" si="194"/>
        <v>1.00090541592111</v>
      </c>
      <c r="AY195">
        <f t="shared" si="195"/>
        <v>0.0425378255247484</v>
      </c>
      <c r="AZ195" t="str">
        <f t="shared" si="170"/>
        <v>1+2,03489759195589i</v>
      </c>
      <c r="BA195">
        <f t="shared" si="196"/>
        <v>2.26733504576361</v>
      </c>
      <c r="BB195">
        <f t="shared" si="197"/>
        <v>1.1140320413875</v>
      </c>
      <c r="BC195" s="30" t="str">
        <f t="shared" si="198"/>
        <v>-0,482014535791764+0,262889119577274i</v>
      </c>
      <c r="BD195" s="32">
        <f t="shared" si="199"/>
        <v>-5.20786581946204</v>
      </c>
      <c r="BE195" s="31">
        <f t="shared" si="200"/>
        <v>151.392096341615</v>
      </c>
      <c r="BF195" s="30" t="str">
        <f t="shared" si="201"/>
        <v>1,86841724110489+3,53803121796909i</v>
      </c>
      <c r="BG195" s="68">
        <f t="shared" si="202"/>
        <v>12.0435465232105</v>
      </c>
      <c r="BH195" s="31">
        <f t="shared" si="203"/>
        <v>62.1616815934752</v>
      </c>
      <c r="BI195" s="30" t="str">
        <f t="shared" si="209"/>
        <v>11,1815056882672+36,5342310401644i</v>
      </c>
      <c r="BJ195" s="68">
        <f t="shared" si="204"/>
        <v>31.642862510691</v>
      </c>
      <c r="BK195" s="31">
        <f t="shared" si="210"/>
        <v>72.9829768928247</v>
      </c>
      <c r="BL195" s="32">
        <f t="shared" si="205"/>
        <v>12.0435465232105</v>
      </c>
      <c r="BM195" s="31">
        <f t="shared" si="206"/>
        <v>62.1616815934752</v>
      </c>
      <c r="BO195">
        <f t="shared" si="207"/>
        <v>0</v>
      </c>
      <c r="BP195">
        <f t="shared" si="208"/>
        <v>0</v>
      </c>
    </row>
    <row r="196" spans="14:68">
      <c r="N196" s="7">
        <v>78</v>
      </c>
      <c r="O196" s="18">
        <f t="shared" si="211"/>
        <v>602.559586074358</v>
      </c>
      <c r="P196" s="86" t="str">
        <f t="shared" si="159"/>
        <v>54,5454545454545</v>
      </c>
      <c r="Q196" s="4" t="str">
        <f t="shared" si="160"/>
        <v>1+7,70965956813333i</v>
      </c>
      <c r="R196" s="4">
        <f t="shared" si="171"/>
        <v>7.77424277061823</v>
      </c>
      <c r="S196" s="4">
        <f t="shared" si="172"/>
        <v>1.44180905766375</v>
      </c>
      <c r="T196" s="4" t="str">
        <f t="shared" si="161"/>
        <v>1+0,0593643786746267i</v>
      </c>
      <c r="U196" s="4">
        <f t="shared" si="173"/>
        <v>1.00176051502114</v>
      </c>
      <c r="V196" s="4">
        <f t="shared" si="174"/>
        <v>0.0592947898410081</v>
      </c>
      <c r="W196" t="str">
        <f t="shared" si="162"/>
        <v>1-0,170369709206518i</v>
      </c>
      <c r="X196" s="4">
        <f t="shared" si="175"/>
        <v>1.01440910771499</v>
      </c>
      <c r="Y196" s="4">
        <f t="shared" si="176"/>
        <v>-0.168749459906036</v>
      </c>
      <c r="Z196" t="str">
        <f t="shared" si="163"/>
        <v>0,999997036097512+0,0117636227785453i</v>
      </c>
      <c r="AA196" s="4">
        <f t="shared" si="177"/>
        <v>1.00006622531945</v>
      </c>
      <c r="AB196" s="4">
        <f t="shared" si="178"/>
        <v>0.011763115057337</v>
      </c>
      <c r="AC196" s="67" t="str">
        <f t="shared" si="179"/>
        <v>0,05539066303293-7,1291154490481i</v>
      </c>
      <c r="AD196" s="68">
        <f t="shared" si="180"/>
        <v>17.0609751188695</v>
      </c>
      <c r="AE196" s="31">
        <f t="shared" si="181"/>
        <v>-89.5548413573022</v>
      </c>
      <c r="AF196" s="32" t="str">
        <f t="shared" si="182"/>
        <v>432,040091031901</v>
      </c>
      <c r="AG196" s="32" t="str">
        <f t="shared" si="164"/>
        <v>1+6,28194483329382i</v>
      </c>
      <c r="AH196" s="32">
        <f t="shared" si="183"/>
        <v>6.36104007914955</v>
      </c>
      <c r="AI196" s="32">
        <f t="shared" si="184"/>
        <v>1.41293448528917</v>
      </c>
      <c r="AJ196" s="32" t="str">
        <f t="shared" si="165"/>
        <v>1+0,0593643786746267i</v>
      </c>
      <c r="AK196" s="32">
        <f t="shared" si="185"/>
        <v>1.00176051502114</v>
      </c>
      <c r="AL196" s="32">
        <f t="shared" si="186"/>
        <v>0.0592947898410081</v>
      </c>
      <c r="AM196" s="32" t="str">
        <f t="shared" si="166"/>
        <v>1-0,0175257445750888i</v>
      </c>
      <c r="AN196" s="32">
        <f t="shared" si="187"/>
        <v>1.00015356407049</v>
      </c>
      <c r="AO196" s="32">
        <f t="shared" si="188"/>
        <v>-0.0175239505514858</v>
      </c>
      <c r="AP196" s="30" t="str">
        <f t="shared" si="189"/>
        <v>13,4948990215921-66,6982438994978i</v>
      </c>
      <c r="AQ196" s="32">
        <f t="shared" si="190"/>
        <v>36.656530271702</v>
      </c>
      <c r="AR196" s="31">
        <f t="shared" si="191"/>
        <v>-78.5618899375498</v>
      </c>
      <c r="AS196" t="str">
        <f t="shared" si="167"/>
        <v>-0,000201496259351621</v>
      </c>
      <c r="AT196" t="str">
        <f t="shared" si="168"/>
        <v>0,000850712747971213i</v>
      </c>
      <c r="AU196">
        <f t="shared" si="192"/>
        <v>0.000850712747971213</v>
      </c>
      <c r="AV196">
        <f t="shared" si="193"/>
        <v>1.5707963267949</v>
      </c>
      <c r="AW196" t="str">
        <f t="shared" si="169"/>
        <v>1+0,0435549323343568i</v>
      </c>
      <c r="AX196">
        <f t="shared" si="194"/>
        <v>1.00094806665014</v>
      </c>
      <c r="AY196">
        <f t="shared" si="195"/>
        <v>0.0435274219384088</v>
      </c>
      <c r="AZ196" t="str">
        <f t="shared" si="170"/>
        <v>1+2,08229644585744i</v>
      </c>
      <c r="BA196">
        <f t="shared" si="196"/>
        <v>2.30996936958708</v>
      </c>
      <c r="BB196">
        <f t="shared" si="197"/>
        <v>1.1230821094832</v>
      </c>
      <c r="BC196" s="30" t="str">
        <f t="shared" si="198"/>
        <v>-0,481973459068523+0,257848134163275i</v>
      </c>
      <c r="BD196" s="32">
        <f t="shared" si="199"/>
        <v>-5.24642553075811</v>
      </c>
      <c r="BE196" s="31">
        <f t="shared" si="200"/>
        <v>151.853927349881</v>
      </c>
      <c r="BF196" s="30" t="str">
        <f t="shared" si="201"/>
        <v>1,81153228730955+3,45032681218967i</v>
      </c>
      <c r="BG196" s="68">
        <f t="shared" si="202"/>
        <v>11.8145495881113</v>
      </c>
      <c r="BH196" s="31">
        <f t="shared" si="203"/>
        <v>62.2990859925789</v>
      </c>
      <c r="BI196" s="30" t="str">
        <f t="shared" si="209"/>
        <v>10,6938345802354+35,6264178594763i</v>
      </c>
      <c r="BJ196" s="68">
        <f t="shared" si="204"/>
        <v>31.4101047409439</v>
      </c>
      <c r="BK196" s="31">
        <f t="shared" si="210"/>
        <v>73.2920374123312</v>
      </c>
      <c r="BL196" s="32">
        <f t="shared" si="205"/>
        <v>11.8145495881113</v>
      </c>
      <c r="BM196" s="31">
        <f t="shared" si="206"/>
        <v>62.2990859925789</v>
      </c>
      <c r="BO196">
        <f t="shared" si="207"/>
        <v>0</v>
      </c>
      <c r="BP196">
        <f t="shared" si="208"/>
        <v>0</v>
      </c>
    </row>
    <row r="197" spans="14:68">
      <c r="N197" s="7">
        <v>79</v>
      </c>
      <c r="O197" s="18">
        <f t="shared" si="211"/>
        <v>616.595001861483</v>
      </c>
      <c r="P197" s="86" t="str">
        <f t="shared" si="159"/>
        <v>54,5454545454545</v>
      </c>
      <c r="Q197" s="4" t="str">
        <f t="shared" si="160"/>
        <v>1+7,88924060894111i</v>
      </c>
      <c r="R197" s="4">
        <f t="shared" si="171"/>
        <v>7.95236552138831</v>
      </c>
      <c r="S197" s="4">
        <f t="shared" si="172"/>
        <v>1.44471379363468</v>
      </c>
      <c r="T197" s="4" t="str">
        <f t="shared" si="161"/>
        <v>1+0,0607471526888466i</v>
      </c>
      <c r="U197" s="4">
        <f t="shared" si="173"/>
        <v>1.00184340920116</v>
      </c>
      <c r="V197" s="4">
        <f t="shared" si="174"/>
        <v>0.0606725943183385</v>
      </c>
      <c r="W197" t="str">
        <f t="shared" si="162"/>
        <v>1-0,17433812952794i</v>
      </c>
      <c r="X197" s="4">
        <f t="shared" si="175"/>
        <v>1.01508314113047</v>
      </c>
      <c r="Y197" s="4">
        <f t="shared" si="176"/>
        <v>-0.172603391353216</v>
      </c>
      <c r="Z197" t="str">
        <f t="shared" si="163"/>
        <v>0,999996896413091+0,0120376327531197i</v>
      </c>
      <c r="AA197" s="4">
        <f t="shared" si="177"/>
        <v>1.0000693463146</v>
      </c>
      <c r="AB197" s="4">
        <f t="shared" si="178"/>
        <v>0.0120370887220797</v>
      </c>
      <c r="AC197" s="67" t="str">
        <f t="shared" si="179"/>
        <v>0,0147492934351337-6,97481359181387i</v>
      </c>
      <c r="AD197" s="68">
        <f t="shared" si="180"/>
        <v>16.8706715242844</v>
      </c>
      <c r="AE197" s="31">
        <f t="shared" si="181"/>
        <v>-89.8788396286349</v>
      </c>
      <c r="AF197" s="32" t="str">
        <f t="shared" si="182"/>
        <v>432,040091031901</v>
      </c>
      <c r="AG197" s="32" t="str">
        <f t="shared" si="164"/>
        <v>1+6,42827012580387i</v>
      </c>
      <c r="AH197" s="32">
        <f t="shared" si="183"/>
        <v>6.50558658464419</v>
      </c>
      <c r="AI197" s="32">
        <f t="shared" si="184"/>
        <v>1.41647043201089</v>
      </c>
      <c r="AJ197" s="32" t="str">
        <f t="shared" si="165"/>
        <v>1+0,0607471526888466i</v>
      </c>
      <c r="AK197" s="32">
        <f t="shared" si="185"/>
        <v>1.00184340920116</v>
      </c>
      <c r="AL197" s="32">
        <f t="shared" si="186"/>
        <v>0.0606725943183385</v>
      </c>
      <c r="AM197" s="32" t="str">
        <f t="shared" si="166"/>
        <v>1-0,0179339716081908i</v>
      </c>
      <c r="AN197" s="32">
        <f t="shared" si="187"/>
        <v>1.00016080074038</v>
      </c>
      <c r="AO197" s="32">
        <f t="shared" si="188"/>
        <v>-0.0179320492939579</v>
      </c>
      <c r="AP197" s="30" t="str">
        <f t="shared" si="189"/>
        <v>13,0288265044166-65,2558055411712i</v>
      </c>
      <c r="AQ197" s="32">
        <f t="shared" si="190"/>
        <v>36.4621452446713</v>
      </c>
      <c r="AR197" s="31">
        <f t="shared" si="191"/>
        <v>-78.7089247153104</v>
      </c>
      <c r="AS197" t="str">
        <f t="shared" si="167"/>
        <v>-0,000201496259351621</v>
      </c>
      <c r="AT197" t="str">
        <f t="shared" si="168"/>
        <v>0,000870528393442846i</v>
      </c>
      <c r="AU197">
        <f t="shared" si="192"/>
        <v>0.000870528393442846</v>
      </c>
      <c r="AV197">
        <f t="shared" si="193"/>
        <v>1.5707963267949</v>
      </c>
      <c r="AW197" t="str">
        <f t="shared" si="169"/>
        <v>1+0,0445694570370098i</v>
      </c>
      <c r="AX197">
        <f t="shared" si="194"/>
        <v>1.00099272549833</v>
      </c>
      <c r="AY197">
        <f t="shared" si="195"/>
        <v>0.0445399806953478</v>
      </c>
      <c r="AZ197" t="str">
        <f t="shared" si="170"/>
        <v>1+2,13079936089704i</v>
      </c>
      <c r="BA197">
        <f t="shared" si="196"/>
        <v>2.35378544400275</v>
      </c>
      <c r="BB197">
        <f t="shared" si="197"/>
        <v>1.1320028417811</v>
      </c>
      <c r="BC197" s="30" t="str">
        <f t="shared" si="198"/>
        <v>-0,481930453962009+0,25294369489794i</v>
      </c>
      <c r="BD197" s="32">
        <f t="shared" si="199"/>
        <v>-5.28360002322336</v>
      </c>
      <c r="BE197" s="31">
        <f t="shared" si="200"/>
        <v>152.307032317435</v>
      </c>
      <c r="BF197" s="30" t="str">
        <f t="shared" si="201"/>
        <v>1,75712698745696+3,36510582138187i</v>
      </c>
      <c r="BG197" s="68">
        <f t="shared" si="202"/>
        <v>11.587071501061</v>
      </c>
      <c r="BH197" s="31">
        <f t="shared" si="203"/>
        <v>62.4281926887997</v>
      </c>
      <c r="BI197" s="30" t="str">
        <f t="shared" si="209"/>
        <v>10,2270562952596+34,7443195043246i</v>
      </c>
      <c r="BJ197" s="68">
        <f t="shared" si="204"/>
        <v>31.178545221448</v>
      </c>
      <c r="BK197" s="31">
        <f t="shared" si="210"/>
        <v>73.5981076021241</v>
      </c>
      <c r="BL197" s="32">
        <f t="shared" si="205"/>
        <v>11.587071501061</v>
      </c>
      <c r="BM197" s="31">
        <f t="shared" si="206"/>
        <v>62.4281926887997</v>
      </c>
      <c r="BO197">
        <f t="shared" si="207"/>
        <v>0</v>
      </c>
      <c r="BP197">
        <f t="shared" si="208"/>
        <v>0</v>
      </c>
    </row>
    <row r="198" spans="14:68">
      <c r="N198" s="7">
        <v>80</v>
      </c>
      <c r="O198" s="18">
        <f t="shared" si="211"/>
        <v>630.957344480193</v>
      </c>
      <c r="P198" s="86" t="str">
        <f t="shared" si="159"/>
        <v>54,5454545454545</v>
      </c>
      <c r="Q198" s="4" t="str">
        <f t="shared" si="160"/>
        <v>1+8,07300462954617i</v>
      </c>
      <c r="R198" s="4">
        <f t="shared" si="171"/>
        <v>8.13470366692444</v>
      </c>
      <c r="S198" s="4">
        <f t="shared" si="172"/>
        <v>1.44755447810941</v>
      </c>
      <c r="T198" s="4" t="str">
        <f t="shared" si="161"/>
        <v>1+0,0621621356475056i</v>
      </c>
      <c r="U198" s="4">
        <f t="shared" si="173"/>
        <v>1.00193020271287</v>
      </c>
      <c r="V198" s="4">
        <f t="shared" si="174"/>
        <v>0.0620822532242008</v>
      </c>
      <c r="W198" t="str">
        <f t="shared" si="162"/>
        <v>1-0,178398986233275i</v>
      </c>
      <c r="X198" s="4">
        <f t="shared" si="175"/>
        <v>1.01578846138803</v>
      </c>
      <c r="Y198" s="4">
        <f t="shared" si="176"/>
        <v>-0.176541737619585</v>
      </c>
      <c r="Z198" t="str">
        <f t="shared" si="163"/>
        <v>0,999996750145546+0,0123180252399166i</v>
      </c>
      <c r="AA198" s="4">
        <f t="shared" si="177"/>
        <v>1.00007261438731</v>
      </c>
      <c r="AB198" s="4">
        <f t="shared" si="178"/>
        <v>0.0123174423024395</v>
      </c>
      <c r="AC198" s="67" t="str">
        <f t="shared" si="179"/>
        <v>-0,0241226010731913-6,82375339496847i</v>
      </c>
      <c r="AD198" s="68">
        <f t="shared" si="180"/>
        <v>16.680520740628</v>
      </c>
      <c r="AE198" s="31">
        <f t="shared" si="181"/>
        <v>-90.2025450503566</v>
      </c>
      <c r="AF198" s="32" t="str">
        <f t="shared" si="182"/>
        <v>432,040091031901</v>
      </c>
      <c r="AG198" s="32" t="str">
        <f t="shared" si="164"/>
        <v>1+6,57800377222281i</v>
      </c>
      <c r="AH198" s="32">
        <f t="shared" si="183"/>
        <v>6.65358051182801</v>
      </c>
      <c r="AI198" s="32">
        <f t="shared" si="184"/>
        <v>1.41992965365216</v>
      </c>
      <c r="AJ198" s="32" t="str">
        <f t="shared" si="165"/>
        <v>1+0,0621621356475056i</v>
      </c>
      <c r="AK198" s="32">
        <f t="shared" si="185"/>
        <v>1.00193020271287</v>
      </c>
      <c r="AL198" s="32">
        <f t="shared" si="186"/>
        <v>0.0620822532242008</v>
      </c>
      <c r="AM198" s="32" t="str">
        <f t="shared" si="166"/>
        <v>1-0,0183517074704236i</v>
      </c>
      <c r="AN198" s="32">
        <f t="shared" si="187"/>
        <v>1.0001683784079</v>
      </c>
      <c r="AO198" s="32">
        <f t="shared" si="188"/>
        <v>-0.0183496476923403</v>
      </c>
      <c r="AP198" s="30" t="str">
        <f t="shared" si="189"/>
        <v>12,582760705737-63,8415860095418i</v>
      </c>
      <c r="AQ198" s="32">
        <f t="shared" si="190"/>
        <v>36.2675844107113</v>
      </c>
      <c r="AR198" s="31">
        <f t="shared" si="191"/>
        <v>-78.8502826356552</v>
      </c>
      <c r="AS198" t="str">
        <f t="shared" si="167"/>
        <v>-0,000201496259351621</v>
      </c>
      <c r="AT198" t="str">
        <f t="shared" si="168"/>
        <v>0,000890805604591486i</v>
      </c>
      <c r="AU198">
        <f t="shared" si="192"/>
        <v>0.000890805604591486</v>
      </c>
      <c r="AV198">
        <f t="shared" si="193"/>
        <v>1.5707963267949</v>
      </c>
      <c r="AW198" t="str">
        <f t="shared" si="169"/>
        <v>1+0,0456076130557302i</v>
      </c>
      <c r="AX198">
        <f t="shared" si="194"/>
        <v>1.00103948691779</v>
      </c>
      <c r="AY198">
        <f t="shared" si="195"/>
        <v>0.0455760303576809</v>
      </c>
      <c r="AZ198" t="str">
        <f t="shared" si="170"/>
        <v>1+2,18043205396225i</v>
      </c>
      <c r="BA198">
        <f t="shared" si="196"/>
        <v>2.39880885898523</v>
      </c>
      <c r="BB198">
        <f t="shared" si="197"/>
        <v>1.14079328791281</v>
      </c>
      <c r="BC198" s="30" t="str">
        <f t="shared" si="198"/>
        <v>-0,481885430311994+0,248173189391038i</v>
      </c>
      <c r="BD198" s="32">
        <f t="shared" si="199"/>
        <v>-5.31943035062784</v>
      </c>
      <c r="BE198" s="31">
        <f t="shared" si="200"/>
        <v>152.751326507801</v>
      </c>
      <c r="BF198" s="30" t="str">
        <f t="shared" si="201"/>
        <v>1,70509697364565+3,28228075823257i</v>
      </c>
      <c r="BG198" s="68">
        <f t="shared" si="202"/>
        <v>11.3610903900001</v>
      </c>
      <c r="BH198" s="31">
        <f t="shared" si="203"/>
        <v>62.5487814574448</v>
      </c>
      <c r="BI198" s="30" t="str">
        <f t="shared" si="209"/>
        <v>9,78032095857334+33,8870340016952i</v>
      </c>
      <c r="BJ198" s="68">
        <f t="shared" si="204"/>
        <v>30.9481540600835</v>
      </c>
      <c r="BK198" s="31">
        <f t="shared" si="210"/>
        <v>73.9010438721463</v>
      </c>
      <c r="BL198" s="32">
        <f t="shared" si="205"/>
        <v>11.3610903900001</v>
      </c>
      <c r="BM198" s="31">
        <f t="shared" si="206"/>
        <v>62.5487814574448</v>
      </c>
      <c r="BO198">
        <f t="shared" si="207"/>
        <v>0</v>
      </c>
      <c r="BP198">
        <f t="shared" si="208"/>
        <v>0</v>
      </c>
    </row>
    <row r="199" spans="14:68">
      <c r="N199" s="7">
        <v>81</v>
      </c>
      <c r="O199" s="18">
        <f t="shared" si="211"/>
        <v>645.654229034656</v>
      </c>
      <c r="P199" s="86" t="str">
        <f t="shared" si="159"/>
        <v>54,5454545454545</v>
      </c>
      <c r="Q199" s="4" t="str">
        <f t="shared" si="160"/>
        <v>1+8,26104906406468i</v>
      </c>
      <c r="R199" s="4">
        <f t="shared" si="171"/>
        <v>8.32135395466891</v>
      </c>
      <c r="S199" s="4">
        <f t="shared" si="172"/>
        <v>1.45033243377555</v>
      </c>
      <c r="T199" s="4" t="str">
        <f t="shared" si="161"/>
        <v>1+0,0636100777932982i</v>
      </c>
      <c r="U199" s="4">
        <f t="shared" si="173"/>
        <v>1.00202107861904</v>
      </c>
      <c r="V199" s="4">
        <f t="shared" si="174"/>
        <v>0.063524491556258</v>
      </c>
      <c r="W199" t="str">
        <f t="shared" si="162"/>
        <v>1-0,182554432442501i</v>
      </c>
      <c r="X199" s="4">
        <f t="shared" si="175"/>
        <v>1.01652649783683</v>
      </c>
      <c r="Y199" s="4">
        <f t="shared" si="176"/>
        <v>-0.180566097937639</v>
      </c>
      <c r="Z199" t="str">
        <f t="shared" si="163"/>
        <v>0,999996596984625+0,0126049489067441i</v>
      </c>
      <c r="AA199" s="4">
        <f t="shared" si="177"/>
        <v>1.00007603646811</v>
      </c>
      <c r="AB199" s="4">
        <f t="shared" si="178"/>
        <v>0.0126043242805472</v>
      </c>
      <c r="AC199" s="67" t="str">
        <f t="shared" si="179"/>
        <v>-0,0612999438229532-6,67588431570022i</v>
      </c>
      <c r="AD199" s="68">
        <f t="shared" si="180"/>
        <v>16.490542204419</v>
      </c>
      <c r="AE199" s="31">
        <f t="shared" si="181"/>
        <v>-90.5260920042503</v>
      </c>
      <c r="AF199" s="32" t="str">
        <f t="shared" si="182"/>
        <v>432,040091031901</v>
      </c>
      <c r="AG199" s="32" t="str">
        <f t="shared" si="164"/>
        <v>1+6,73122516331196i</v>
      </c>
      <c r="AH199" s="32">
        <f t="shared" si="183"/>
        <v>6.80510045474746</v>
      </c>
      <c r="AI199" s="32">
        <f t="shared" si="184"/>
        <v>1.42331365301736</v>
      </c>
      <c r="AJ199" s="32" t="str">
        <f t="shared" si="165"/>
        <v>1+0,0636100777932982i</v>
      </c>
      <c r="AK199" s="32">
        <f t="shared" si="185"/>
        <v>1.00202107861904</v>
      </c>
      <c r="AL199" s="32">
        <f t="shared" si="186"/>
        <v>0.063524491556258</v>
      </c>
      <c r="AM199" s="32" t="str">
        <f t="shared" si="166"/>
        <v>1-0,0187791736508708i</v>
      </c>
      <c r="AN199" s="32">
        <f t="shared" si="187"/>
        <v>1.00017631313834</v>
      </c>
      <c r="AO199" s="32">
        <f t="shared" si="188"/>
        <v>-0.0187769665799028</v>
      </c>
      <c r="AP199" s="30" t="str">
        <f t="shared" si="189"/>
        <v>12,1558836942111-62,4552422980304i</v>
      </c>
      <c r="AQ199" s="32">
        <f t="shared" si="190"/>
        <v>36.072858619438</v>
      </c>
      <c r="AR199" s="31">
        <f t="shared" si="191"/>
        <v>-78.9860209164409</v>
      </c>
      <c r="AS199" t="str">
        <f t="shared" si="167"/>
        <v>-0,000201496259351621</v>
      </c>
      <c r="AT199" t="str">
        <f t="shared" si="168"/>
        <v>0,000911555132662889i</v>
      </c>
      <c r="AU199">
        <f t="shared" si="192"/>
        <v>0.000911555132662889</v>
      </c>
      <c r="AV199">
        <f t="shared" si="193"/>
        <v>1.5707963267949</v>
      </c>
      <c r="AW199" t="str">
        <f t="shared" si="169"/>
        <v>1+0,0466699508345809i</v>
      </c>
      <c r="AX199">
        <f t="shared" si="194"/>
        <v>1.00108844979397</v>
      </c>
      <c r="AY199">
        <f t="shared" si="195"/>
        <v>0.046636111350833</v>
      </c>
      <c r="AZ199" t="str">
        <f t="shared" si="170"/>
        <v>1+2,2312208409639i</v>
      </c>
      <c r="BA199">
        <f t="shared" si="196"/>
        <v>2.44506573350322</v>
      </c>
      <c r="BB199">
        <f t="shared" si="197"/>
        <v>1.14945267362907</v>
      </c>
      <c r="BC199" s="30" t="str">
        <f t="shared" si="198"/>
        <v>-0,481838293778426+0,243534075414045i</v>
      </c>
      <c r="BD199" s="32">
        <f t="shared" si="199"/>
        <v>-5.35395728073433</v>
      </c>
      <c r="BE199" s="31">
        <f t="shared" si="200"/>
        <v>153.186734595669</v>
      </c>
      <c r="BF199" s="30" t="str">
        <f t="shared" si="201"/>
        <v>1,65534197473554+3,20176808299729i</v>
      </c>
      <c r="BG199" s="68">
        <f t="shared" si="202"/>
        <v>11.1365849236846</v>
      </c>
      <c r="BH199" s="31">
        <f t="shared" si="203"/>
        <v>62.6606425914191</v>
      </c>
      <c r="BI199" s="30" t="str">
        <f t="shared" si="209"/>
        <v>9,35280942922332+33,0536992827115i</v>
      </c>
      <c r="BJ199" s="68">
        <f t="shared" si="204"/>
        <v>30.7189013387037</v>
      </c>
      <c r="BK199" s="31">
        <f t="shared" si="210"/>
        <v>74.2007136792285</v>
      </c>
      <c r="BL199" s="32">
        <f t="shared" si="205"/>
        <v>11.1365849236846</v>
      </c>
      <c r="BM199" s="31">
        <f t="shared" si="206"/>
        <v>62.6606425914191</v>
      </c>
      <c r="BO199">
        <f t="shared" si="207"/>
        <v>0</v>
      </c>
      <c r="BP199">
        <f t="shared" si="208"/>
        <v>0</v>
      </c>
    </row>
    <row r="200" spans="14:68">
      <c r="N200" s="7">
        <v>82</v>
      </c>
      <c r="O200" s="18">
        <f t="shared" si="211"/>
        <v>660.693448007596</v>
      </c>
      <c r="P200" s="86" t="str">
        <f t="shared" si="159"/>
        <v>54,5454545454545</v>
      </c>
      <c r="Q200" s="4" t="str">
        <f t="shared" si="160"/>
        <v>1+8,45347361614488i</v>
      </c>
      <c r="R200" s="4">
        <f t="shared" si="171"/>
        <v>8.51241541390325</v>
      </c>
      <c r="S200" s="4">
        <f t="shared" si="172"/>
        <v>1.45304896194934</v>
      </c>
      <c r="T200" s="4" t="str">
        <f t="shared" si="161"/>
        <v>1+0,0650917468443157i</v>
      </c>
      <c r="U200" s="4">
        <f t="shared" si="173"/>
        <v>1.002116228542</v>
      </c>
      <c r="V200" s="4">
        <f t="shared" si="174"/>
        <v>0.0650000499953869</v>
      </c>
      <c r="W200" t="str">
        <f t="shared" si="162"/>
        <v>1-0,186806671428202i</v>
      </c>
      <c r="X200" s="4">
        <f t="shared" si="175"/>
        <v>1.01729874299052</v>
      </c>
      <c r="Y200" s="4">
        <f t="shared" si="176"/>
        <v>-0.184678084407748</v>
      </c>
      <c r="Z200" t="str">
        <f t="shared" si="163"/>
        <v>0,999996436605451+0,0128985558843282i</v>
      </c>
      <c r="AA200" s="4">
        <f t="shared" si="177"/>
        <v>1.00007961981409</v>
      </c>
      <c r="AB200" s="4">
        <f t="shared" si="178"/>
        <v>0.012897886588176</v>
      </c>
      <c r="AC200" s="67" t="str">
        <f t="shared" si="179"/>
        <v>-0,09685470707977-6,53115562721901i</v>
      </c>
      <c r="AD200" s="68">
        <f t="shared" si="180"/>
        <v>16.3007556369405</v>
      </c>
      <c r="AE200" s="31">
        <f t="shared" si="181"/>
        <v>-90.8496136839533</v>
      </c>
      <c r="AF200" s="32" t="str">
        <f t="shared" si="182"/>
        <v>432,040091031901</v>
      </c>
      <c r="AG200" s="32" t="str">
        <f t="shared" si="164"/>
        <v>1+6,88801553908101i</v>
      </c>
      <c r="AH200" s="32">
        <f t="shared" si="183"/>
        <v>6.9602268689046</v>
      </c>
      <c r="AI200" s="32">
        <f t="shared" si="184"/>
        <v>1.42662391417377</v>
      </c>
      <c r="AJ200" s="32" t="str">
        <f t="shared" si="165"/>
        <v>1+0,0650917468443157i</v>
      </c>
      <c r="AK200" s="32">
        <f t="shared" si="185"/>
        <v>1.002116228542</v>
      </c>
      <c r="AL200" s="32">
        <f t="shared" si="186"/>
        <v>0.0650000499953869</v>
      </c>
      <c r="AM200" s="32" t="str">
        <f t="shared" si="166"/>
        <v>1-0,0192165967977595i</v>
      </c>
      <c r="AN200" s="32">
        <f t="shared" si="187"/>
        <v>1.00018462175365</v>
      </c>
      <c r="AO200" s="32">
        <f t="shared" si="188"/>
        <v>-0.0192142319021854</v>
      </c>
      <c r="AP200" s="30" t="str">
        <f t="shared" si="189"/>
        <v>11,747407445571-61,0964210267929i</v>
      </c>
      <c r="AQ200" s="32">
        <f t="shared" si="190"/>
        <v>35.877978426042</v>
      </c>
      <c r="AR200" s="31">
        <f t="shared" si="191"/>
        <v>-79.1161950962967</v>
      </c>
      <c r="AS200" t="str">
        <f t="shared" si="167"/>
        <v>-0,000201496259351621</v>
      </c>
      <c r="AT200" t="str">
        <f t="shared" si="168"/>
        <v>0,000932787979331487i</v>
      </c>
      <c r="AU200">
        <f t="shared" si="192"/>
        <v>0.000932787979331487</v>
      </c>
      <c r="AV200">
        <f t="shared" si="193"/>
        <v>1.5707963267949</v>
      </c>
      <c r="AW200" t="str">
        <f t="shared" si="169"/>
        <v>1+0,047757033639114i</v>
      </c>
      <c r="AX200">
        <f t="shared" si="194"/>
        <v>1.00113971765284</v>
      </c>
      <c r="AY200">
        <f t="shared" si="195"/>
        <v>0.0477207762080447</v>
      </c>
      <c r="AZ200" t="str">
        <f t="shared" si="170"/>
        <v>1+2,28319265078913i</v>
      </c>
      <c r="BA200">
        <f t="shared" si="196"/>
        <v>2.49258273295341</v>
      </c>
      <c r="BB200">
        <f t="shared" si="197"/>
        <v>1.15798039462548</v>
      </c>
      <c r="BC200" s="30" t="str">
        <f t="shared" si="198"/>
        <v>-0,481788945651094+0,239023879491996i</v>
      </c>
      <c r="BD200" s="32">
        <f t="shared" si="199"/>
        <v>-5.38722123365881</v>
      </c>
      <c r="BE200" s="31">
        <f t="shared" si="200"/>
        <v>153.613190299124</v>
      </c>
      <c r="BF200" s="30" t="str">
        <f t="shared" si="201"/>
        <v>1,60776568278918+3,12348799568779i</v>
      </c>
      <c r="BG200" s="68">
        <f t="shared" si="202"/>
        <v>10.9135344032817</v>
      </c>
      <c r="BH200" s="31">
        <f t="shared" si="203"/>
        <v>62.7635766151708</v>
      </c>
      <c r="BI200" s="30" t="str">
        <f t="shared" si="209"/>
        <v>8,94373252956493+32,2434911711674i</v>
      </c>
      <c r="BJ200" s="68">
        <f t="shared" si="204"/>
        <v>30.4907571923832</v>
      </c>
      <c r="BK200" s="31">
        <f t="shared" si="210"/>
        <v>74.4969952028274</v>
      </c>
      <c r="BL200" s="32">
        <f t="shared" si="205"/>
        <v>10.9135344032817</v>
      </c>
      <c r="BM200" s="31">
        <f t="shared" si="206"/>
        <v>62.7635766151708</v>
      </c>
      <c r="BO200">
        <f t="shared" si="207"/>
        <v>0</v>
      </c>
      <c r="BP200">
        <f t="shared" si="208"/>
        <v>0</v>
      </c>
    </row>
    <row r="201" spans="14:68">
      <c r="N201" s="7">
        <v>83</v>
      </c>
      <c r="O201" s="18">
        <f t="shared" si="211"/>
        <v>676.082975391982</v>
      </c>
      <c r="P201" s="86" t="str">
        <f t="shared" si="159"/>
        <v>54,5454545454545</v>
      </c>
      <c r="Q201" s="4" t="str">
        <f t="shared" si="160"/>
        <v>1+8,6503803118313i</v>
      </c>
      <c r="R201" s="4">
        <f t="shared" si="171"/>
        <v>8.70798940854424</v>
      </c>
      <c r="S201" s="4">
        <f t="shared" si="172"/>
        <v>1.45570534251026</v>
      </c>
      <c r="T201" s="4" t="str">
        <f t="shared" si="161"/>
        <v>1+0,0666079284011011i</v>
      </c>
      <c r="U201" s="4">
        <f t="shared" si="173"/>
        <v>1.00221585306055</v>
      </c>
      <c r="V201" s="4">
        <f t="shared" si="174"/>
        <v>0.0665096851861727</v>
      </c>
      <c r="W201" t="str">
        <f t="shared" si="162"/>
        <v>1-0,191157957783772i</v>
      </c>
      <c r="X201" s="4">
        <f t="shared" si="175"/>
        <v>1.01810675512152</v>
      </c>
      <c r="Y201" s="4">
        <f t="shared" si="176"/>
        <v>-0.188879320769107</v>
      </c>
      <c r="Z201" t="str">
        <f t="shared" si="163"/>
        <v>0,99999626866784+0,0131990018469748i</v>
      </c>
      <c r="AA201" s="4">
        <f t="shared" si="177"/>
        <v>1.00008337202423</v>
      </c>
      <c r="AB201" s="4">
        <f t="shared" si="178"/>
        <v>0.0131982846864541</v>
      </c>
      <c r="AC201" s="67" t="str">
        <f t="shared" si="179"/>
        <v>-0,130856010517925-6,38951650684403i</v>
      </c>
      <c r="AD201" s="68">
        <f t="shared" si="180"/>
        <v>16.1111810742326</v>
      </c>
      <c r="AE201" s="31">
        <f t="shared" si="181"/>
        <v>-91.1732420092861</v>
      </c>
      <c r="AF201" s="32" t="str">
        <f t="shared" si="182"/>
        <v>432,040091031901</v>
      </c>
      <c r="AG201" s="32" t="str">
        <f t="shared" si="164"/>
        <v>1+7,04845803186254i</v>
      </c>
      <c r="AH201" s="32">
        <f t="shared" si="183"/>
        <v>7.11904211442295</v>
      </c>
      <c r="AI201" s="32">
        <f t="shared" si="184"/>
        <v>1.42986190192867</v>
      </c>
      <c r="AJ201" s="32" t="str">
        <f t="shared" si="165"/>
        <v>1+0,0666079284011011i</v>
      </c>
      <c r="AK201" s="32">
        <f t="shared" si="185"/>
        <v>1.00221585306055</v>
      </c>
      <c r="AL201" s="32">
        <f t="shared" si="186"/>
        <v>0.0665096851861727</v>
      </c>
      <c r="AM201" s="32" t="str">
        <f t="shared" si="166"/>
        <v>1-0,0196642088386321i</v>
      </c>
      <c r="AN201" s="32">
        <f t="shared" si="187"/>
        <v>1.00019332186795</v>
      </c>
      <c r="AO201" s="32">
        <f t="shared" si="188"/>
        <v>-0.0196616748338218</v>
      </c>
      <c r="AP201" s="30" t="str">
        <f t="shared" si="189"/>
        <v>11,3565730601195-59,764759726888i</v>
      </c>
      <c r="AQ201" s="32">
        <f t="shared" si="190"/>
        <v>35.6829541086902</v>
      </c>
      <c r="AR201" s="31">
        <f t="shared" si="191"/>
        <v>-79.2408589952869</v>
      </c>
      <c r="AS201" t="str">
        <f t="shared" si="167"/>
        <v>-0,000201496259351621</v>
      </c>
      <c r="AT201" t="str">
        <f t="shared" si="168"/>
        <v>0,000954515402533636i</v>
      </c>
      <c r="AU201">
        <f t="shared" si="192"/>
        <v>0.000954515402533636</v>
      </c>
      <c r="AV201">
        <f t="shared" si="193"/>
        <v>1.5707963267949</v>
      </c>
      <c r="AW201" t="str">
        <f t="shared" si="169"/>
        <v>1+0,0488694378550216i</v>
      </c>
      <c r="AX201">
        <f t="shared" si="194"/>
        <v>1.00119339887769</v>
      </c>
      <c r="AY201">
        <f t="shared" si="195"/>
        <v>0.0488305898183284</v>
      </c>
      <c r="AZ201" t="str">
        <f t="shared" si="170"/>
        <v>1+2,33637503957944i</v>
      </c>
      <c r="BA201">
        <f t="shared" si="196"/>
        <v>2.5413870869212</v>
      </c>
      <c r="BB201">
        <f t="shared" si="197"/>
        <v>1.16637601014209</v>
      </c>
      <c r="BC201" s="30" t="str">
        <f t="shared" si="198"/>
        <v>-0,48173728265092+0,23464019552761i</v>
      </c>
      <c r="BD201" s="32">
        <f t="shared" si="199"/>
        <v>-5.41926222526128</v>
      </c>
      <c r="BE201" s="31">
        <f t="shared" si="200"/>
        <v>154.030635998725</v>
      </c>
      <c r="BF201" s="30" t="str">
        <f t="shared" si="201"/>
        <v>1,56227562141822+3,04736423956635i</v>
      </c>
      <c r="BG201" s="68">
        <f t="shared" si="202"/>
        <v>10.6919188489713</v>
      </c>
      <c r="BH201" s="31">
        <f t="shared" si="203"/>
        <v>62.857393989439</v>
      </c>
      <c r="BI201" s="30" t="str">
        <f t="shared" si="209"/>
        <v>8,55233026176902+31,4556214724662i</v>
      </c>
      <c r="BJ201" s="68">
        <f t="shared" si="204"/>
        <v>30.2636918834289</v>
      </c>
      <c r="BK201" s="31">
        <f t="shared" si="210"/>
        <v>74.7897770034382</v>
      </c>
      <c r="BL201" s="32">
        <f t="shared" si="205"/>
        <v>10.6919188489713</v>
      </c>
      <c r="BM201" s="31">
        <f t="shared" si="206"/>
        <v>62.857393989439</v>
      </c>
      <c r="BO201">
        <f t="shared" si="207"/>
        <v>0</v>
      </c>
      <c r="BP201">
        <f t="shared" si="208"/>
        <v>0</v>
      </c>
    </row>
    <row r="202" spans="14:68">
      <c r="N202" s="7">
        <v>84</v>
      </c>
      <c r="O202" s="18">
        <f t="shared" si="211"/>
        <v>691.830970918937</v>
      </c>
      <c r="P202" s="86" t="str">
        <f t="shared" si="159"/>
        <v>54,5454545454545</v>
      </c>
      <c r="Q202" s="4" t="str">
        <f t="shared" si="160"/>
        <v>1+8,85187355366037i</v>
      </c>
      <c r="R202" s="4">
        <f t="shared" si="171"/>
        <v>8.9081796911598</v>
      </c>
      <c r="S202" s="4">
        <f t="shared" si="172"/>
        <v>1.45830283387063</v>
      </c>
      <c r="T202" s="4" t="str">
        <f t="shared" si="161"/>
        <v>1+0,0681594263631849i</v>
      </c>
      <c r="U202" s="4">
        <f t="shared" si="173"/>
        <v>1.00232016212494</v>
      </c>
      <c r="V202" s="4">
        <f t="shared" si="174"/>
        <v>0.0680541700180279</v>
      </c>
      <c r="W202" t="str">
        <f t="shared" si="162"/>
        <v>1-0,195610598618834i</v>
      </c>
      <c r="X202" s="4">
        <f t="shared" si="175"/>
        <v>1.01895216094379</v>
      </c>
      <c r="Y202" s="4">
        <f t="shared" si="176"/>
        <v>-0.193171441056853</v>
      </c>
      <c r="Z202" t="str">
        <f t="shared" si="163"/>
        <v>0,999996092815573+0,01350644609511i</v>
      </c>
      <c r="AA202" s="4">
        <f t="shared" si="177"/>
        <v>1.00008730105553</v>
      </c>
      <c r="AB202" s="4">
        <f t="shared" si="178"/>
        <v>0.0135056776473882</v>
      </c>
      <c r="AC202" s="67" t="str">
        <f t="shared" si="179"/>
        <v>-0,163370218109164-6,25091611742547i</v>
      </c>
      <c r="AD202" s="68">
        <f t="shared" si="180"/>
        <v>15.9218388971064</v>
      </c>
      <c r="AE202" s="31">
        <f t="shared" si="181"/>
        <v>-91.4971075361331</v>
      </c>
      <c r="AF202" s="32" t="str">
        <f t="shared" si="182"/>
        <v>432,040091031901</v>
      </c>
      <c r="AG202" s="32" t="str">
        <f t="shared" si="164"/>
        <v>1+7,21263771038993i</v>
      </c>
      <c r="AH202" s="32">
        <f t="shared" si="183"/>
        <v>7.28163050019286</v>
      </c>
      <c r="AI202" s="32">
        <f t="shared" si="184"/>
        <v>1.43302906137311</v>
      </c>
      <c r="AJ202" s="32" t="str">
        <f t="shared" si="165"/>
        <v>1+0,0681594263631849i</v>
      </c>
      <c r="AK202" s="32">
        <f t="shared" si="185"/>
        <v>1.00232016212494</v>
      </c>
      <c r="AL202" s="32">
        <f t="shared" si="186"/>
        <v>0.0680541700180279</v>
      </c>
      <c r="AM202" s="32" t="str">
        <f t="shared" si="166"/>
        <v>1-0,0201222471033175i</v>
      </c>
      <c r="AN202" s="32">
        <f t="shared" si="187"/>
        <v>1.0002024319249</v>
      </c>
      <c r="AO202" s="32">
        <f t="shared" si="188"/>
        <v>-0.0201195318979228</v>
      </c>
      <c r="AP202" s="30" t="str">
        <f t="shared" si="189"/>
        <v>10,9826499712758-58,4598880424877i</v>
      </c>
      <c r="AQ202" s="32">
        <f t="shared" si="190"/>
        <v>35.4877956857218</v>
      </c>
      <c r="AR202" s="31">
        <f t="shared" si="191"/>
        <v>-79.3600646795042</v>
      </c>
      <c r="AS202" t="str">
        <f t="shared" si="167"/>
        <v>-0,000201496259351621</v>
      </c>
      <c r="AT202" t="str">
        <f t="shared" si="168"/>
        <v>0,000976748922436713i</v>
      </c>
      <c r="AU202">
        <f t="shared" si="192"/>
        <v>0.000976748922436713</v>
      </c>
      <c r="AV202">
        <f t="shared" si="193"/>
        <v>1.5707963267949</v>
      </c>
      <c r="AW202" t="str">
        <f t="shared" si="169"/>
        <v>1+0,0500077532937434i</v>
      </c>
      <c r="AX202">
        <f t="shared" si="194"/>
        <v>1.001249606936</v>
      </c>
      <c r="AY202">
        <f t="shared" si="195"/>
        <v>0.0499661296777982</v>
      </c>
      <c r="AZ202" t="str">
        <f t="shared" si="170"/>
        <v>1+2,3907962053413i</v>
      </c>
      <c r="BA202">
        <f t="shared" si="196"/>
        <v>2.59150660726041</v>
      </c>
      <c r="BB202">
        <f t="shared" si="197"/>
        <v>1.17463923638393</v>
      </c>
      <c r="BC202" s="30" t="str">
        <f t="shared" si="198"/>
        <v>-0,481683196722604+0,2303806834566i</v>
      </c>
      <c r="BD202" s="32">
        <f t="shared" si="199"/>
        <v>-5.45011981552058</v>
      </c>
      <c r="BE202" s="31">
        <f t="shared" si="200"/>
        <v>154.439022346128</v>
      </c>
      <c r="BF202" s="30" t="str">
        <f t="shared" si="201"/>
        <v>1,51878301627045+2,97332391538191i</v>
      </c>
      <c r="BG202" s="68">
        <f t="shared" si="202"/>
        <v>10.4717190815859</v>
      </c>
      <c r="BH202" s="31">
        <f t="shared" si="203"/>
        <v>62.9419148099947</v>
      </c>
      <c r="BI202" s="30" t="str">
        <f t="shared" si="209"/>
        <v>8,17787101537509+30,6893361588981i</v>
      </c>
      <c r="BJ202" s="68">
        <f t="shared" si="204"/>
        <v>30.0376758702012</v>
      </c>
      <c r="BK202" s="31">
        <f t="shared" si="210"/>
        <v>75.0789576666236</v>
      </c>
      <c r="BL202" s="32">
        <f t="shared" si="205"/>
        <v>10.4717190815859</v>
      </c>
      <c r="BM202" s="31">
        <f t="shared" si="206"/>
        <v>62.9419148099947</v>
      </c>
      <c r="BO202">
        <f t="shared" si="207"/>
        <v>0</v>
      </c>
      <c r="BP202">
        <f t="shared" si="208"/>
        <v>0</v>
      </c>
    </row>
    <row r="203" spans="14:68">
      <c r="N203" s="7">
        <v>85</v>
      </c>
      <c r="O203" s="18">
        <f t="shared" si="211"/>
        <v>707.945784384139</v>
      </c>
      <c r="P203" s="86" t="str">
        <f t="shared" si="159"/>
        <v>54,5454545454545</v>
      </c>
      <c r="Q203" s="4" t="str">
        <f t="shared" si="160"/>
        <v>1+9,05806017601601i</v>
      </c>
      <c r="R203" s="4">
        <f t="shared" si="171"/>
        <v>9.11309245823432</v>
      </c>
      <c r="S203" s="4">
        <f t="shared" si="172"/>
        <v>1.46084267297752</v>
      </c>
      <c r="T203" s="4" t="str">
        <f t="shared" si="161"/>
        <v>1+0,0697470633553234i</v>
      </c>
      <c r="U203" s="4">
        <f t="shared" si="173"/>
        <v>1.00242937549071</v>
      </c>
      <c r="V203" s="4">
        <f t="shared" si="174"/>
        <v>0.0696342939065477</v>
      </c>
      <c r="W203" t="str">
        <f t="shared" si="162"/>
        <v>1-0,200166954782497i</v>
      </c>
      <c r="X203" s="4">
        <f t="shared" si="175"/>
        <v>1.0198366583855</v>
      </c>
      <c r="Y203" s="4">
        <f t="shared" si="176"/>
        <v>-0.197556088139179</v>
      </c>
      <c r="Z203" t="str">
        <f t="shared" si="163"/>
        <v>0,999995908675644+0,0138210516397438i</v>
      </c>
      <c r="AA203" s="4">
        <f t="shared" si="177"/>
        <v>1.00009141523985</v>
      </c>
      <c r="AB203" s="4">
        <f t="shared" si="178"/>
        <v>0.0138202282372377</v>
      </c>
      <c r="AC203" s="67" t="str">
        <f t="shared" si="179"/>
        <v>-0,194461033276307-6,11530368247618i</v>
      </c>
      <c r="AD203" s="68">
        <f t="shared" si="180"/>
        <v>15.7327498611588</v>
      </c>
      <c r="AE203" s="31">
        <f t="shared" si="181"/>
        <v>-91.821339361394</v>
      </c>
      <c r="AF203" s="32" t="str">
        <f t="shared" si="182"/>
        <v>432,040091031901</v>
      </c>
      <c r="AG203" s="32" t="str">
        <f t="shared" si="164"/>
        <v>1+7,38064162490193i</v>
      </c>
      <c r="AH203" s="32">
        <f t="shared" si="183"/>
        <v>7.44807832902118</v>
      </c>
      <c r="AI203" s="32">
        <f t="shared" si="184"/>
        <v>1.43612681748805</v>
      </c>
      <c r="AJ203" s="32" t="str">
        <f t="shared" si="165"/>
        <v>1+0,0697470633553234i</v>
      </c>
      <c r="AK203" s="32">
        <f t="shared" si="185"/>
        <v>1.00242937549071</v>
      </c>
      <c r="AL203" s="32">
        <f t="shared" si="186"/>
        <v>0.0696342939065477</v>
      </c>
      <c r="AM203" s="32" t="str">
        <f t="shared" si="166"/>
        <v>1-0,0205909544497665i</v>
      </c>
      <c r="AN203" s="32">
        <f t="shared" si="187"/>
        <v>1.00021197123667</v>
      </c>
      <c r="AO203" s="32">
        <f t="shared" si="188"/>
        <v>-0.020588045088068</v>
      </c>
      <c r="AP203" s="30" t="str">
        <f t="shared" si="189"/>
        <v>10,6249351488062-57,1814288548322i</v>
      </c>
      <c r="AQ203" s="32">
        <f t="shared" si="190"/>
        <v>35.2925129326416</v>
      </c>
      <c r="AR203" s="31">
        <f t="shared" si="191"/>
        <v>-79.4738624293724</v>
      </c>
      <c r="AS203" t="str">
        <f t="shared" si="167"/>
        <v>-0,000201496259351621</v>
      </c>
      <c r="AT203" t="str">
        <f t="shared" si="168"/>
        <v>0,000999500327547267i</v>
      </c>
      <c r="AU203">
        <f t="shared" si="192"/>
        <v>0.000999500327547267</v>
      </c>
      <c r="AV203">
        <f t="shared" si="193"/>
        <v>1.5707963267949</v>
      </c>
      <c r="AW203" t="str">
        <f t="shared" si="169"/>
        <v>1+0,0511725835051925i</v>
      </c>
      <c r="AX203">
        <f t="shared" si="194"/>
        <v>1.00130846061671</v>
      </c>
      <c r="AY203">
        <f t="shared" si="195"/>
        <v>0.0511279861442822</v>
      </c>
      <c r="AZ203" t="str">
        <f t="shared" si="170"/>
        <v>1+2,44648500289718i</v>
      </c>
      <c r="BA203">
        <f t="shared" si="196"/>
        <v>2.64296970648564</v>
      </c>
      <c r="BB203">
        <f t="shared" si="197"/>
        <v>1.1827699398069</v>
      </c>
      <c r="BC203" s="30" t="str">
        <f t="shared" si="198"/>
        <v>-0,481626574818264+0,226243067933192i</v>
      </c>
      <c r="BD203" s="32">
        <f t="shared" si="199"/>
        <v>-5.47983306181734</v>
      </c>
      <c r="BE203" s="31">
        <f t="shared" si="200"/>
        <v>154.838307864807</v>
      </c>
      <c r="BF203" s="30" t="str">
        <f t="shared" si="201"/>
        <v>1,47720266785905+2,90129730580263i</v>
      </c>
      <c r="BG203" s="68">
        <f t="shared" si="202"/>
        <v>10.2529167993415</v>
      </c>
      <c r="BH203" s="31">
        <f t="shared" si="203"/>
        <v>63.0169685034132</v>
      </c>
      <c r="BI203" s="30" t="str">
        <f t="shared" si="209"/>
        <v>7,81965076953507+29,9439136472242i</v>
      </c>
      <c r="BJ203" s="68">
        <f t="shared" si="204"/>
        <v>29.8126798708242</v>
      </c>
      <c r="BK203" s="31">
        <f t="shared" si="210"/>
        <v>75.3644454354349</v>
      </c>
      <c r="BL203" s="32">
        <f t="shared" si="205"/>
        <v>10.2529167993415</v>
      </c>
      <c r="BM203" s="31">
        <f t="shared" si="206"/>
        <v>63.0169685034132</v>
      </c>
      <c r="BO203">
        <f t="shared" si="207"/>
        <v>0</v>
      </c>
      <c r="BP203">
        <f t="shared" si="208"/>
        <v>0</v>
      </c>
    </row>
    <row r="204" spans="14:68">
      <c r="N204" s="7">
        <v>86</v>
      </c>
      <c r="O204" s="18">
        <f t="shared" si="211"/>
        <v>724.43596007499</v>
      </c>
      <c r="P204" s="86" t="str">
        <f t="shared" si="159"/>
        <v>54,5454545454545</v>
      </c>
      <c r="Q204" s="4" t="str">
        <f t="shared" si="160"/>
        <v>1+9,26904950177453i</v>
      </c>
      <c r="R204" s="4">
        <f t="shared" si="171"/>
        <v>9.32283640671371</v>
      </c>
      <c r="S204" s="4">
        <f t="shared" si="172"/>
        <v>1.4633260753446</v>
      </c>
      <c r="T204" s="4" t="str">
        <f t="shared" si="161"/>
        <v>1+0,071371681163664i</v>
      </c>
      <c r="U204" s="4">
        <f t="shared" si="173"/>
        <v>1.00254372317228</v>
      </c>
      <c r="V204" s="4">
        <f t="shared" si="174"/>
        <v>0.0712508630746753</v>
      </c>
      <c r="W204" t="str">
        <f t="shared" si="162"/>
        <v>1-0,204829442115107i</v>
      </c>
      <c r="X204" s="4">
        <f t="shared" si="175"/>
        <v>1.02076201945272</v>
      </c>
      <c r="Y204" s="4">
        <f t="shared" si="176"/>
        <v>-0.202034912128174</v>
      </c>
      <c r="Z204" t="str">
        <f t="shared" si="163"/>
        <v>0,999995715857467+0,0141429852889002i</v>
      </c>
      <c r="AA204" s="4">
        <f t="shared" si="177"/>
        <v>1.00009572330161</v>
      </c>
      <c r="AB204" s="4">
        <f t="shared" si="178"/>
        <v>0.0141421030017774</v>
      </c>
      <c r="AC204" s="67" t="str">
        <f t="shared" si="179"/>
        <v>-0,224189592184806-5,98262855537475i</v>
      </c>
      <c r="AD204" s="68">
        <f t="shared" si="180"/>
        <v>15.5439351267657</v>
      </c>
      <c r="AE204" s="31">
        <f t="shared" si="181"/>
        <v>-92.146065022527</v>
      </c>
      <c r="AF204" s="32" t="str">
        <f t="shared" si="182"/>
        <v>432,040091031901</v>
      </c>
      <c r="AG204" s="32" t="str">
        <f t="shared" si="164"/>
        <v>1+7,55255885329776i</v>
      </c>
      <c r="AH204" s="32">
        <f t="shared" si="183"/>
        <v>7.61847394381095</v>
      </c>
      <c r="AI204" s="32">
        <f t="shared" si="184"/>
        <v>1.43915657480872</v>
      </c>
      <c r="AJ204" s="32" t="str">
        <f t="shared" si="165"/>
        <v>1+0,071371681163664i</v>
      </c>
      <c r="AK204" s="32">
        <f t="shared" si="185"/>
        <v>1.00254372317228</v>
      </c>
      <c r="AL204" s="32">
        <f t="shared" si="186"/>
        <v>0.0712508630746753</v>
      </c>
      <c r="AM204" s="32" t="str">
        <f t="shared" si="166"/>
        <v>1-0,0210705793928182i</v>
      </c>
      <c r="AN204" s="32">
        <f t="shared" si="187"/>
        <v>1.00022196002485</v>
      </c>
      <c r="AO204" s="32">
        <f t="shared" si="188"/>
        <v>-0.0210674619929541</v>
      </c>
      <c r="AP204" s="30" t="str">
        <f t="shared" si="189"/>
        <v>10,282752300004-55,928999331582i</v>
      </c>
      <c r="AQ204" s="32">
        <f t="shared" si="190"/>
        <v>35.0971153989158</v>
      </c>
      <c r="AR204" s="31">
        <f t="shared" si="191"/>
        <v>-79.5823007114484</v>
      </c>
      <c r="AS204" t="str">
        <f t="shared" si="167"/>
        <v>-0,000201496259351621</v>
      </c>
      <c r="AT204" t="str">
        <f t="shared" si="168"/>
        <v>0,00102278168096144i</v>
      </c>
      <c r="AU204">
        <f t="shared" si="192"/>
        <v>0.00102278168096144</v>
      </c>
      <c r="AV204">
        <f t="shared" si="193"/>
        <v>1.5707963267949</v>
      </c>
      <c r="AW204" t="str">
        <f t="shared" si="169"/>
        <v>1+0,0523645460977651i</v>
      </c>
      <c r="AX204">
        <f t="shared" si="194"/>
        <v>1.00137008427855</v>
      </c>
      <c r="AY204">
        <f t="shared" si="195"/>
        <v>0.0523167626951166</v>
      </c>
      <c r="AZ204" t="str">
        <f t="shared" si="170"/>
        <v>1+2,50347095918464i</v>
      </c>
      <c r="BA204">
        <f t="shared" si="196"/>
        <v>2.6958054164722</v>
      </c>
      <c r="BB204">
        <f t="shared" si="197"/>
        <v>1.19076813031101</v>
      </c>
      <c r="BC204" s="30" t="str">
        <f t="shared" si="198"/>
        <v>-0,481567298671679+0,222225137044796i</v>
      </c>
      <c r="BD204" s="32">
        <f t="shared" si="199"/>
        <v>-5.5084404770241</v>
      </c>
      <c r="BE204" s="31">
        <f t="shared" si="200"/>
        <v>155.228458545287</v>
      </c>
      <c r="BF204" s="30" t="str">
        <f t="shared" si="201"/>
        <v>1,43745282690501+2,83121770952058i</v>
      </c>
      <c r="BG204" s="68">
        <f t="shared" si="202"/>
        <v>10.0354946497416</v>
      </c>
      <c r="BH204" s="31">
        <f t="shared" si="203"/>
        <v>63.0823935227603</v>
      </c>
      <c r="BI204" s="30" t="str">
        <f t="shared" si="209"/>
        <v>7,47699229321619+29,2186631645862i</v>
      </c>
      <c r="BJ204" s="68">
        <f t="shared" si="204"/>
        <v>29.5886749218917</v>
      </c>
      <c r="BK204" s="31">
        <f t="shared" si="210"/>
        <v>75.6461578338389</v>
      </c>
      <c r="BL204" s="32">
        <f t="shared" si="205"/>
        <v>10.0354946497416</v>
      </c>
      <c r="BM204" s="31">
        <f t="shared" si="206"/>
        <v>63.0823935227603</v>
      </c>
      <c r="BO204">
        <f t="shared" si="207"/>
        <v>0</v>
      </c>
      <c r="BP204">
        <f t="shared" si="208"/>
        <v>0</v>
      </c>
    </row>
    <row r="205" spans="14:68">
      <c r="N205" s="7">
        <v>87</v>
      </c>
      <c r="O205" s="18">
        <f t="shared" si="211"/>
        <v>741.310241300918</v>
      </c>
      <c r="P205" s="86" t="str">
        <f t="shared" si="159"/>
        <v>54,5454545454545</v>
      </c>
      <c r="Q205" s="4" t="str">
        <f t="shared" si="160"/>
        <v>1+9,4849534002693i</v>
      </c>
      <c r="R205" s="4">
        <f t="shared" si="171"/>
        <v>9.53752279186163</v>
      </c>
      <c r="S205" s="4">
        <f t="shared" si="172"/>
        <v>1.46575423511121</v>
      </c>
      <c r="T205" s="4" t="str">
        <f t="shared" si="161"/>
        <v>1+0,0730341411820738i</v>
      </c>
      <c r="U205" s="4">
        <f t="shared" si="173"/>
        <v>1.00266344591703</v>
      </c>
      <c r="V205" s="4">
        <f t="shared" si="174"/>
        <v>0.0729047008332196</v>
      </c>
      <c r="W205" t="str">
        <f t="shared" si="162"/>
        <v>1-0,209600532729166i</v>
      </c>
      <c r="X205" s="4">
        <f t="shared" si="175"/>
        <v>1.02173009318526</v>
      </c>
      <c r="Y205" s="4">
        <f t="shared" si="176"/>
        <v>-0.206609568658015</v>
      </c>
      <c r="Z205" t="str">
        <f t="shared" si="163"/>
        <v>0,99999551395205+0,0144724177360614i</v>
      </c>
      <c r="AA205" s="4">
        <f t="shared" si="177"/>
        <v>1.00010023437621</v>
      </c>
      <c r="AB205" s="4">
        <f t="shared" si="178"/>
        <v>0.0144714723534913</v>
      </c>
      <c r="AC205" s="67" t="str">
        <f t="shared" si="179"/>
        <v>-0,252614555066324-5,852840282986i</v>
      </c>
      <c r="AD205" s="68">
        <f t="shared" si="180"/>
        <v>15.3554162890258</v>
      </c>
      <c r="AE205" s="31">
        <f t="shared" si="181"/>
        <v>-92.4714103912091</v>
      </c>
      <c r="AF205" s="32" t="str">
        <f t="shared" si="182"/>
        <v>432,040091031901</v>
      </c>
      <c r="AG205" s="32" t="str">
        <f t="shared" si="164"/>
        <v>1+7,72848054836758i</v>
      </c>
      <c r="AH205" s="32">
        <f t="shared" si="183"/>
        <v>7.79290777479729</v>
      </c>
      <c r="AI205" s="32">
        <f t="shared" si="184"/>
        <v>1.44211971714343</v>
      </c>
      <c r="AJ205" s="32" t="str">
        <f t="shared" si="165"/>
        <v>1+0,0730341411820738i</v>
      </c>
      <c r="AK205" s="32">
        <f t="shared" si="185"/>
        <v>1.00266344591703</v>
      </c>
      <c r="AL205" s="32">
        <f t="shared" si="186"/>
        <v>0.0729047008332196</v>
      </c>
      <c r="AM205" s="32" t="str">
        <f t="shared" si="166"/>
        <v>1-0,0215613762359662i</v>
      </c>
      <c r="AN205" s="32">
        <f t="shared" si="187"/>
        <v>1.00023241946319</v>
      </c>
      <c r="AO205" s="32">
        <f t="shared" si="188"/>
        <v>-0.021558035923749</v>
      </c>
      <c r="AP205" s="30" t="str">
        <f t="shared" si="189"/>
        <v>9,9554510717361-54,7022119051576i</v>
      </c>
      <c r="AQ205" s="32">
        <f t="shared" si="190"/>
        <v>34.901612424577</v>
      </c>
      <c r="AR205" s="31">
        <f t="shared" si="191"/>
        <v>-79.6854261535332</v>
      </c>
      <c r="AS205" t="str">
        <f t="shared" si="167"/>
        <v>-0,000201496259351621</v>
      </c>
      <c r="AT205" t="str">
        <f t="shared" si="168"/>
        <v>0,00104660532676097i</v>
      </c>
      <c r="AU205">
        <f t="shared" si="192"/>
        <v>0.00104660532676097</v>
      </c>
      <c r="AV205">
        <f t="shared" si="193"/>
        <v>1.5707963267949</v>
      </c>
      <c r="AW205" t="str">
        <f t="shared" si="169"/>
        <v>1+0,0535842730658056i</v>
      </c>
      <c r="AX205">
        <f t="shared" si="194"/>
        <v>1.00143460810978</v>
      </c>
      <c r="AY205">
        <f t="shared" si="195"/>
        <v>0.053533076188004</v>
      </c>
      <c r="AZ205" t="str">
        <f t="shared" si="170"/>
        <v>1+2,56178428891202i</v>
      </c>
      <c r="BA205">
        <f t="shared" si="196"/>
        <v>2.75004340746041</v>
      </c>
      <c r="BB205">
        <f t="shared" si="197"/>
        <v>1.19863395437991</v>
      </c>
      <c r="BC205" s="30" t="str">
        <f t="shared" si="198"/>
        <v>-0,481505244562843+0,218324741054806i</v>
      </c>
      <c r="BD205" s="32">
        <f t="shared" si="199"/>
        <v>-5.53597999227705</v>
      </c>
      <c r="BE205" s="31">
        <f t="shared" si="200"/>
        <v>155.60944743712</v>
      </c>
      <c r="BF205" s="30" t="str">
        <f t="shared" si="201"/>
        <v>1,3994550723354+2,7630212845249i</v>
      </c>
      <c r="BG205" s="68">
        <f t="shared" si="202"/>
        <v>9.81943629674878</v>
      </c>
      <c r="BH205" s="31">
        <f t="shared" si="203"/>
        <v>63.1380370459113</v>
      </c>
      <c r="BI205" s="30" t="str">
        <f t="shared" si="209"/>
        <v>7,14924434628895+28,5129231988419i</v>
      </c>
      <c r="BJ205" s="68">
        <f t="shared" si="204"/>
        <v>29.3656324322999</v>
      </c>
      <c r="BK205" s="31">
        <f t="shared" si="210"/>
        <v>75.9240212835872</v>
      </c>
      <c r="BL205" s="32">
        <f t="shared" si="205"/>
        <v>9.81943629674878</v>
      </c>
      <c r="BM205" s="31">
        <f t="shared" si="206"/>
        <v>63.1380370459113</v>
      </c>
      <c r="BO205">
        <f t="shared" si="207"/>
        <v>0</v>
      </c>
      <c r="BP205">
        <f t="shared" si="208"/>
        <v>0</v>
      </c>
    </row>
    <row r="206" spans="14:68">
      <c r="N206" s="7">
        <v>88</v>
      </c>
      <c r="O206" s="18">
        <f t="shared" si="211"/>
        <v>758.577575029184</v>
      </c>
      <c r="P206" s="86" t="str">
        <f t="shared" si="159"/>
        <v>54,5454545454545</v>
      </c>
      <c r="Q206" s="4" t="str">
        <f t="shared" si="160"/>
        <v>1+9,70588634660509i</v>
      </c>
      <c r="R206" s="4">
        <f t="shared" si="171"/>
        <v>9.75726548645752</v>
      </c>
      <c r="S206" s="4">
        <f t="shared" si="172"/>
        <v>1.46812832512672</v>
      </c>
      <c r="T206" s="4" t="str">
        <f t="shared" si="161"/>
        <v>1+0,0747353248688593i</v>
      </c>
      <c r="U206" s="4">
        <f t="shared" si="173"/>
        <v>1.0027887957009</v>
      </c>
      <c r="V206" s="4">
        <f t="shared" si="174"/>
        <v>0.0745966478602131</v>
      </c>
      <c r="W206" t="str">
        <f t="shared" si="162"/>
        <v>1-0,214482756320068i</v>
      </c>
      <c r="X206" s="4">
        <f t="shared" si="175"/>
        <v>1.02274280870542</v>
      </c>
      <c r="Y206" s="4">
        <f t="shared" si="176"/>
        <v>-0.211281717023997</v>
      </c>
      <c r="Z206" t="str">
        <f t="shared" si="163"/>
        <v>0,999995302531124+0,0148095236506714i</v>
      </c>
      <c r="AA206" s="4">
        <f t="shared" si="177"/>
        <v>1.00010495802944</v>
      </c>
      <c r="AB206" s="4">
        <f t="shared" si="178"/>
        <v>0.0148085106607354</v>
      </c>
      <c r="AC206" s="67" t="str">
        <f t="shared" si="179"/>
        <v>-0,279792195487185-5,72588866403135i</v>
      </c>
      <c r="AD206" s="68">
        <f t="shared" si="180"/>
        <v>15.1672154076239</v>
      </c>
      <c r="AE206" s="31">
        <f t="shared" si="181"/>
        <v>-92.7974995606444</v>
      </c>
      <c r="AF206" s="32" t="str">
        <f t="shared" si="182"/>
        <v>432,040091031901</v>
      </c>
      <c r="AG206" s="32" t="str">
        <f t="shared" si="164"/>
        <v>1+7,90849998612267i</v>
      </c>
      <c r="AH206" s="32">
        <f t="shared" si="183"/>
        <v>7.97147238786551</v>
      </c>
      <c r="AI206" s="32">
        <f t="shared" si="184"/>
        <v>1.44501760734286</v>
      </c>
      <c r="AJ206" s="32" t="str">
        <f t="shared" si="165"/>
        <v>1+0,0747353248688593i</v>
      </c>
      <c r="AK206" s="32">
        <f t="shared" si="185"/>
        <v>1.0027887957009</v>
      </c>
      <c r="AL206" s="32">
        <f t="shared" si="186"/>
        <v>0.0745966478602131</v>
      </c>
      <c r="AM206" s="32" t="str">
        <f t="shared" si="166"/>
        <v>1-0,022063605206193i</v>
      </c>
      <c r="AN206" s="32">
        <f t="shared" si="187"/>
        <v>1.00024337172245</v>
      </c>
      <c r="AO206" s="32">
        <f t="shared" si="188"/>
        <v>-0.0220600260441996</v>
      </c>
      <c r="AP206" s="30" t="str">
        <f t="shared" si="189"/>
        <v>9,64240625595978-53,5006751835819i</v>
      </c>
      <c r="AQ206" s="32">
        <f t="shared" si="190"/>
        <v>34.706013156647</v>
      </c>
      <c r="AR206" s="31">
        <f t="shared" si="191"/>
        <v>-79.7832835229059</v>
      </c>
      <c r="AS206" t="str">
        <f t="shared" si="167"/>
        <v>-0,000201496259351621</v>
      </c>
      <c r="AT206" t="str">
        <f t="shared" si="168"/>
        <v>0,00107098389655821i</v>
      </c>
      <c r="AU206">
        <f t="shared" si="192"/>
        <v>0.00107098389655821</v>
      </c>
      <c r="AV206">
        <f t="shared" si="193"/>
        <v>1.5707963267949</v>
      </c>
      <c r="AW206" t="str">
        <f t="shared" si="169"/>
        <v>1+0,0548324111246972i</v>
      </c>
      <c r="AX206">
        <f t="shared" si="194"/>
        <v>1.00150216839992</v>
      </c>
      <c r="AY206">
        <f t="shared" si="195"/>
        <v>0.0547775571248008</v>
      </c>
      <c r="AZ206" t="str">
        <f t="shared" si="170"/>
        <v>1+2,62145591057861i</v>
      </c>
      <c r="BA206">
        <f t="shared" si="196"/>
        <v>2.80571400736203</v>
      </c>
      <c r="BB206">
        <f t="shared" si="197"/>
        <v>1.20636768820298</v>
      </c>
      <c r="BC206" s="30" t="str">
        <f t="shared" si="198"/>
        <v>-0,481440283072369+0,214539791172484i</v>
      </c>
      <c r="BD206" s="32">
        <f t="shared" si="199"/>
        <v>-5.56248892428681</v>
      </c>
      <c r="BE206" s="31">
        <f t="shared" si="200"/>
        <v>155.981254239697</v>
      </c>
      <c r="BF206" s="30" t="str">
        <f t="shared" si="201"/>
        <v>1,36313419205497+2,69664690006061i</v>
      </c>
      <c r="BG206" s="68">
        <f t="shared" si="202"/>
        <v>9.60472648333705</v>
      </c>
      <c r="BH206" s="31">
        <f t="shared" si="203"/>
        <v>63.1837546790524</v>
      </c>
      <c r="BI206" s="30" t="str">
        <f t="shared" si="209"/>
        <v>6,8357808841045+27,8260600295004i</v>
      </c>
      <c r="BJ206" s="68">
        <f t="shared" si="204"/>
        <v>29.1435242323602</v>
      </c>
      <c r="BK206" s="31">
        <f t="shared" si="210"/>
        <v>76.1979707167909</v>
      </c>
      <c r="BL206" s="32">
        <f t="shared" si="205"/>
        <v>9.60472648333705</v>
      </c>
      <c r="BM206" s="31">
        <f t="shared" si="206"/>
        <v>63.1837546790524</v>
      </c>
      <c r="BO206">
        <f t="shared" si="207"/>
        <v>0</v>
      </c>
      <c r="BP206">
        <f t="shared" si="208"/>
        <v>0</v>
      </c>
    </row>
    <row r="207" spans="14:68">
      <c r="N207" s="7">
        <v>89</v>
      </c>
      <c r="O207" s="18">
        <f t="shared" si="211"/>
        <v>776.247116628692</v>
      </c>
      <c r="P207" s="86" t="str">
        <f t="shared" si="159"/>
        <v>54,5454545454545</v>
      </c>
      <c r="Q207" s="4" t="str">
        <f t="shared" si="160"/>
        <v>1+9,93196548235445i</v>
      </c>
      <c r="R207" s="4">
        <f t="shared" si="171"/>
        <v>9.98218104136968</v>
      </c>
      <c r="S207" s="4">
        <f t="shared" si="172"/>
        <v>1.47044949705786</v>
      </c>
      <c r="T207" s="4" t="str">
        <f t="shared" si="161"/>
        <v>1+0,0764761342141294i</v>
      </c>
      <c r="U207" s="4">
        <f t="shared" si="173"/>
        <v>1.00292003624633</v>
      </c>
      <c r="V207" s="4">
        <f t="shared" si="174"/>
        <v>0.0763275624785721</v>
      </c>
      <c r="W207" t="str">
        <f t="shared" si="162"/>
        <v>1-0,219478701507387i</v>
      </c>
      <c r="X207" s="4">
        <f t="shared" si="175"/>
        <v>1.02380217836034</v>
      </c>
      <c r="Y207" s="4">
        <f t="shared" si="176"/>
        <v>-0.216053018175907</v>
      </c>
      <c r="Z207" t="str">
        <f t="shared" si="163"/>
        <v>0,999995081146236+0,0151544817707481i</v>
      </c>
      <c r="AA207" s="4">
        <f t="shared" si="177"/>
        <v>1.00010990427773</v>
      </c>
      <c r="AB207" s="4">
        <f t="shared" si="178"/>
        <v>0.0151533963389145</v>
      </c>
      <c r="AC207" s="67" t="str">
        <f t="shared" si="179"/>
        <v>-0,305776487492166-5,60172380252536i</v>
      </c>
      <c r="AD207" s="68">
        <f t="shared" si="180"/>
        <v>14.9793550365765</v>
      </c>
      <c r="AE207" s="31">
        <f t="shared" si="181"/>
        <v>-93.1244547260582</v>
      </c>
      <c r="AF207" s="32" t="str">
        <f t="shared" si="182"/>
        <v>432,040091031901</v>
      </c>
      <c r="AG207" s="32" t="str">
        <f t="shared" si="164"/>
        <v>1+8,09271261525177i</v>
      </c>
      <c r="AH207" s="32">
        <f t="shared" si="183"/>
        <v>8.15426253397909</v>
      </c>
      <c r="AI207" s="32">
        <f t="shared" si="184"/>
        <v>1.44785158711664</v>
      </c>
      <c r="AJ207" s="32" t="str">
        <f t="shared" si="165"/>
        <v>1+0,0764761342141294i</v>
      </c>
      <c r="AK207" s="32">
        <f t="shared" si="185"/>
        <v>1.00292003624633</v>
      </c>
      <c r="AL207" s="32">
        <f t="shared" si="186"/>
        <v>0.0763275624785721</v>
      </c>
      <c r="AM207" s="32" t="str">
        <f t="shared" si="166"/>
        <v>1-0,0225775325919465i</v>
      </c>
      <c r="AN207" s="32">
        <f t="shared" si="187"/>
        <v>1.00025484001725</v>
      </c>
      <c r="AO207" s="32">
        <f t="shared" si="188"/>
        <v>-0.0225736975035441</v>
      </c>
      <c r="AP207" s="30" t="str">
        <f t="shared" si="189"/>
        <v>9,34301700101044-52,3239947972488i</v>
      </c>
      <c r="AQ207" s="32">
        <f t="shared" si="190"/>
        <v>34.5103265653863</v>
      </c>
      <c r="AR207" s="31">
        <f t="shared" si="191"/>
        <v>-79.875915707516</v>
      </c>
      <c r="AS207" t="str">
        <f t="shared" si="167"/>
        <v>-0,000201496259351621</v>
      </c>
      <c r="AT207" t="str">
        <f t="shared" si="168"/>
        <v>0,00109593031619355i</v>
      </c>
      <c r="AU207">
        <f t="shared" si="192"/>
        <v>0.00109593031619355</v>
      </c>
      <c r="AV207">
        <f t="shared" si="193"/>
        <v>1.5707963267949</v>
      </c>
      <c r="AW207" t="str">
        <f t="shared" si="169"/>
        <v>1+0,05610962205376i</v>
      </c>
      <c r="AX207">
        <f t="shared" si="194"/>
        <v>1.001572907824</v>
      </c>
      <c r="AY207">
        <f t="shared" si="195"/>
        <v>0.0560508499180861</v>
      </c>
      <c r="AZ207" t="str">
        <f t="shared" si="170"/>
        <v>1+2,68251746286805i</v>
      </c>
      <c r="BA207">
        <f t="shared" si="196"/>
        <v>2.86284822136837</v>
      </c>
      <c r="BB207">
        <f t="shared" si="197"/>
        <v>1.21396973081314</v>
      </c>
      <c r="BC207" s="30" t="str">
        <f t="shared" si="198"/>
        <v>-0,481372278825456+0,210868258348865i</v>
      </c>
      <c r="BD207" s="32">
        <f t="shared" si="199"/>
        <v>-5.5880039470266</v>
      </c>
      <c r="BE207" s="31">
        <f t="shared" si="200"/>
        <v>156.343864893798</v>
      </c>
      <c r="BF207" s="30" t="str">
        <f t="shared" si="201"/>
        <v>1,32841806658525+2,63203599681092i</v>
      </c>
      <c r="BG207" s="68">
        <f t="shared" si="202"/>
        <v>9.39135108954989</v>
      </c>
      <c r="BH207" s="31">
        <f t="shared" si="203"/>
        <v>63.2194101677395</v>
      </c>
      <c r="BI207" s="30" t="str">
        <f t="shared" si="209"/>
        <v>6,53600026786955+27,1574663355299i</v>
      </c>
      <c r="BJ207" s="68">
        <f t="shared" si="204"/>
        <v>28.9223226183597</v>
      </c>
      <c r="BK207" s="31">
        <f t="shared" si="210"/>
        <v>76.4679491862819</v>
      </c>
      <c r="BL207" s="32">
        <f t="shared" si="205"/>
        <v>9.39135108954989</v>
      </c>
      <c r="BM207" s="31">
        <f t="shared" si="206"/>
        <v>63.2194101677395</v>
      </c>
      <c r="BO207">
        <f t="shared" si="207"/>
        <v>0</v>
      </c>
      <c r="BP207">
        <f t="shared" si="208"/>
        <v>0</v>
      </c>
    </row>
    <row r="208" spans="14:68">
      <c r="N208" s="7">
        <v>90</v>
      </c>
      <c r="O208" s="18">
        <f t="shared" si="211"/>
        <v>794.328234724282</v>
      </c>
      <c r="P208" s="86" t="str">
        <f t="shared" si="159"/>
        <v>54,5454545454545</v>
      </c>
      <c r="Q208" s="4" t="str">
        <f t="shared" si="160"/>
        <v>1+10,1633106776676i</v>
      </c>
      <c r="R208" s="4">
        <f t="shared" si="171"/>
        <v>10.2123887475356</v>
      </c>
      <c r="S208" s="4">
        <f t="shared" si="172"/>
        <v>1.47271888151713</v>
      </c>
      <c r="T208" s="4" t="str">
        <f t="shared" si="161"/>
        <v>1+0,078257492218041i</v>
      </c>
      <c r="U208" s="4">
        <f t="shared" si="173"/>
        <v>1.00305744356356</v>
      </c>
      <c r="V208" s="4">
        <f t="shared" si="174"/>
        <v>0.0780983209314583</v>
      </c>
      <c r="W208" t="str">
        <f t="shared" si="162"/>
        <v>1-0,224591017207388i</v>
      </c>
      <c r="X208" s="4">
        <f t="shared" si="175"/>
        <v>1.02491030095821</v>
      </c>
      <c r="Y208" s="4">
        <f t="shared" si="176"/>
        <v>-0.220925132559165</v>
      </c>
      <c r="Z208" t="str">
        <f t="shared" si="163"/>
        <v>0,9999948493278+0,015507474997653i</v>
      </c>
      <c r="AA208" s="4">
        <f t="shared" si="177"/>
        <v>1.00011508360935</v>
      </c>
      <c r="AB208" s="4">
        <f t="shared" si="178"/>
        <v>0.0155063119437132</v>
      </c>
      <c r="AC208" s="67" t="str">
        <f t="shared" si="179"/>
        <v>-0,330619190569218-5,48029615658119i</v>
      </c>
      <c r="AD208" s="68">
        <f t="shared" si="180"/>
        <v>14.7918582538198</v>
      </c>
      <c r="AE208" s="31">
        <f t="shared" si="181"/>
        <v>-93.4523960579246</v>
      </c>
      <c r="AF208" s="32" t="str">
        <f t="shared" si="182"/>
        <v>432,040091031901</v>
      </c>
      <c r="AG208" s="32" t="str">
        <f t="shared" si="164"/>
        <v>1+8,28121610772919i</v>
      </c>
      <c r="AH208" s="32">
        <f t="shared" si="183"/>
        <v>8.34137519974455</v>
      </c>
      <c r="AI208" s="32">
        <f t="shared" si="184"/>
        <v>1.45062297689351</v>
      </c>
      <c r="AJ208" s="32" t="str">
        <f t="shared" si="165"/>
        <v>1+0,078257492218041i</v>
      </c>
      <c r="AK208" s="32">
        <f t="shared" si="185"/>
        <v>1.00305744356356</v>
      </c>
      <c r="AL208" s="32">
        <f t="shared" si="186"/>
        <v>0.0780983209314583</v>
      </c>
      <c r="AM208" s="32" t="str">
        <f t="shared" si="166"/>
        <v>1-0,0231034308843292i</v>
      </c>
      <c r="AN208" s="32">
        <f t="shared" si="187"/>
        <v>1.00026684865521</v>
      </c>
      <c r="AO208" s="32">
        <f t="shared" si="188"/>
        <v>-0.0230993215722757</v>
      </c>
      <c r="AP208" s="30" t="str">
        <f t="shared" si="189"/>
        <v>9,05670603069377-51,1717741849535i</v>
      </c>
      <c r="AQ208" s="32">
        <f t="shared" si="190"/>
        <v>34.3145614603819</v>
      </c>
      <c r="AR208" s="31">
        <f t="shared" si="191"/>
        <v>-79.9633636999779</v>
      </c>
      <c r="AS208" t="str">
        <f t="shared" si="167"/>
        <v>-0,000201496259351621</v>
      </c>
      <c r="AT208" t="str">
        <f t="shared" si="168"/>
        <v>0,00112145781258889i</v>
      </c>
      <c r="AU208">
        <f t="shared" si="192"/>
        <v>0.00112145781258889</v>
      </c>
      <c r="AV208">
        <f t="shared" si="193"/>
        <v>1.5707963267949</v>
      </c>
      <c r="AW208" t="str">
        <f t="shared" si="169"/>
        <v>1+0,0574165830471342i</v>
      </c>
      <c r="AX208">
        <f t="shared" si="194"/>
        <v>1.00164697573986</v>
      </c>
      <c r="AY208">
        <f t="shared" si="195"/>
        <v>0.0573536131603414</v>
      </c>
      <c r="AZ208" t="str">
        <f t="shared" si="170"/>
        <v>1+2,74500132142363i</v>
      </c>
      <c r="BA208">
        <f t="shared" si="196"/>
        <v>2.92147775186077</v>
      </c>
      <c r="BB208">
        <f t="shared" si="197"/>
        <v>1.22144059727073</v>
      </c>
      <c r="BC208" s="30" t="str">
        <f t="shared" si="198"/>
        <v>-0,481301090224954+0,207308172097623i</v>
      </c>
      <c r="BD208" s="32">
        <f t="shared" si="199"/>
        <v>-5.61256106762559</v>
      </c>
      <c r="BE208" s="31">
        <f t="shared" si="200"/>
        <v>156.697271175638</v>
      </c>
      <c r="BF208" s="30" t="str">
        <f t="shared" si="201"/>
        <v>1,29523755564473+2,56913245486085i</v>
      </c>
      <c r="BG208" s="68">
        <f t="shared" si="202"/>
        <v>9.17929718619416</v>
      </c>
      <c r="BH208" s="31">
        <f t="shared" si="203"/>
        <v>63.244875117713</v>
      </c>
      <c r="BI208" s="30" t="str">
        <f t="shared" si="209"/>
        <v>6,24932448285522+26,5065598764119i</v>
      </c>
      <c r="BJ208" s="68">
        <f t="shared" si="204"/>
        <v>28.7020003927563</v>
      </c>
      <c r="BK208" s="31">
        <f t="shared" si="210"/>
        <v>76.7339074756597</v>
      </c>
      <c r="BL208" s="32">
        <f t="shared" si="205"/>
        <v>9.17929718619416</v>
      </c>
      <c r="BM208" s="31">
        <f t="shared" si="206"/>
        <v>63.244875117713</v>
      </c>
      <c r="BO208">
        <f t="shared" si="207"/>
        <v>0</v>
      </c>
      <c r="BP208">
        <f t="shared" si="208"/>
        <v>0</v>
      </c>
    </row>
    <row r="209" spans="14:68">
      <c r="N209" s="7">
        <v>91</v>
      </c>
      <c r="O209" s="18">
        <f t="shared" si="211"/>
        <v>812.8305161641</v>
      </c>
      <c r="P209" s="86" t="str">
        <f t="shared" si="159"/>
        <v>54,5454545454545</v>
      </c>
      <c r="Q209" s="4" t="str">
        <f t="shared" si="160"/>
        <v>1+10,4000445948295i</v>
      </c>
      <c r="R209" s="4">
        <f t="shared" si="171"/>
        <v>10.448010699384</v>
      </c>
      <c r="S209" s="4">
        <f t="shared" si="172"/>
        <v>1.47493758821035</v>
      </c>
      <c r="T209" s="4" t="str">
        <f t="shared" si="161"/>
        <v>1+0,0800803433801869i</v>
      </c>
      <c r="U209" s="4">
        <f t="shared" si="173"/>
        <v>1.00320130651624</v>
      </c>
      <c r="V209" s="4">
        <f t="shared" si="174"/>
        <v>0.0799098176547043</v>
      </c>
      <c r="W209" t="str">
        <f t="shared" si="162"/>
        <v>1-0,229822414037526i</v>
      </c>
      <c r="X209" s="4">
        <f t="shared" si="175"/>
        <v>1.02606936509869</v>
      </c>
      <c r="Y209" s="4">
        <f t="shared" si="176"/>
        <v>-0.225899717797203</v>
      </c>
      <c r="Z209" t="str">
        <f t="shared" si="163"/>
        <v>0,999994606584098+0,0158686904930673i</v>
      </c>
      <c r="AA209" s="4">
        <f t="shared" si="177"/>
        <v>1.00012050700666</v>
      </c>
      <c r="AB209" s="4">
        <f t="shared" si="178"/>
        <v>0.0158674442664235</v>
      </c>
      <c r="AC209" s="67" t="str">
        <f t="shared" si="179"/>
        <v>-0,35436993239511-5,36155658287294i</v>
      </c>
      <c r="AD209" s="68">
        <f t="shared" si="180"/>
        <v>14.6047486905899</v>
      </c>
      <c r="AE209" s="31">
        <f t="shared" si="181"/>
        <v>-93.7814415674843</v>
      </c>
      <c r="AF209" s="32" t="str">
        <f t="shared" si="182"/>
        <v>432,040091031901</v>
      </c>
      <c r="AG209" s="32" t="str">
        <f t="shared" si="164"/>
        <v>1+8,47411041060178i</v>
      </c>
      <c r="AH209" s="32">
        <f t="shared" si="183"/>
        <v>8.53290965914145</v>
      </c>
      <c r="AI209" s="32">
        <f t="shared" si="184"/>
        <v>1.45333307572222</v>
      </c>
      <c r="AJ209" s="32" t="str">
        <f t="shared" si="165"/>
        <v>1+0,0800803433801869i</v>
      </c>
      <c r="AK209" s="32">
        <f t="shared" si="185"/>
        <v>1.00320130651624</v>
      </c>
      <c r="AL209" s="32">
        <f t="shared" si="186"/>
        <v>0.0799098176547043</v>
      </c>
      <c r="AM209" s="32" t="str">
        <f t="shared" si="166"/>
        <v>1-0,0236415789215768i</v>
      </c>
      <c r="AN209" s="32">
        <f t="shared" si="187"/>
        <v>1.00027942308832</v>
      </c>
      <c r="AO209" s="32">
        <f t="shared" si="188"/>
        <v>-0.0236371757808092</v>
      </c>
      <c r="AP209" s="30" t="str">
        <f t="shared" si="189"/>
        <v>8,78291887296205-50,0436153224127i</v>
      </c>
      <c r="AQ209" s="32">
        <f t="shared" si="190"/>
        <v>34.1187265064846</v>
      </c>
      <c r="AR209" s="31">
        <f t="shared" si="191"/>
        <v>-80.0456665842249</v>
      </c>
      <c r="AS209" t="str">
        <f t="shared" si="167"/>
        <v>-0,000201496259351621</v>
      </c>
      <c r="AT209" t="str">
        <f t="shared" si="168"/>
        <v>0,00114757992076071i</v>
      </c>
      <c r="AU209">
        <f t="shared" si="192"/>
        <v>0.00114757992076071</v>
      </c>
      <c r="AV209">
        <f t="shared" si="193"/>
        <v>1.5707963267949</v>
      </c>
      <c r="AW209" t="str">
        <f t="shared" si="169"/>
        <v>1+0,0587539870728384i</v>
      </c>
      <c r="AX209">
        <f t="shared" si="194"/>
        <v>1.00172452849921</v>
      </c>
      <c r="AY209">
        <f t="shared" si="195"/>
        <v>0.0586865198955548</v>
      </c>
      <c r="AZ209" t="str">
        <f t="shared" si="170"/>
        <v>1+2,80894061601421i</v>
      </c>
      <c r="BA209">
        <f t="shared" si="196"/>
        <v>2.98163501862557</v>
      </c>
      <c r="BB209">
        <f t="shared" si="197"/>
        <v>1.22878091192079</v>
      </c>
      <c r="BC209" s="30" t="str">
        <f t="shared" si="198"/>
        <v>-0,481226569173157+0,203857619339833i</v>
      </c>
      <c r="BD209" s="32">
        <f t="shared" si="199"/>
        <v>-5.63619560628281</v>
      </c>
      <c r="BE209" s="31">
        <f t="shared" si="200"/>
        <v>157.041470294972</v>
      </c>
      <c r="BF209" s="30" t="str">
        <f t="shared" si="201"/>
        <v>1,26352638772491+2,50788246902002i</v>
      </c>
      <c r="BG209" s="68">
        <f t="shared" si="202"/>
        <v>8.96855308430712</v>
      </c>
      <c r="BH209" s="31">
        <f t="shared" si="203"/>
        <v>63.2600287274879</v>
      </c>
      <c r="BI209" s="30" t="str">
        <f t="shared" si="209"/>
        <v>5,97519836622375+25,8727822429228i</v>
      </c>
      <c r="BJ209" s="68">
        <f t="shared" si="204"/>
        <v>28.4825309002018</v>
      </c>
      <c r="BK209" s="31">
        <f t="shared" si="210"/>
        <v>76.9958037107473</v>
      </c>
      <c r="BL209" s="32">
        <f t="shared" si="205"/>
        <v>8.96855308430712</v>
      </c>
      <c r="BM209" s="31">
        <f t="shared" si="206"/>
        <v>63.2600287274879</v>
      </c>
      <c r="BO209">
        <f t="shared" si="207"/>
        <v>0</v>
      </c>
      <c r="BP209">
        <f t="shared" si="208"/>
        <v>0</v>
      </c>
    </row>
    <row r="210" spans="14:68">
      <c r="N210" s="7">
        <v>92</v>
      </c>
      <c r="O210" s="18">
        <f t="shared" si="211"/>
        <v>831.763771102671</v>
      </c>
      <c r="P210" s="86" t="str">
        <f t="shared" si="159"/>
        <v>54,5454545454545</v>
      </c>
      <c r="Q210" s="4" t="str">
        <f t="shared" si="160"/>
        <v>1+10,6422927532963i</v>
      </c>
      <c r="R210" s="4">
        <f t="shared" si="171"/>
        <v>10.6891718597309</v>
      </c>
      <c r="S210" s="4">
        <f t="shared" si="172"/>
        <v>1.47710670610162</v>
      </c>
      <c r="T210" s="4" t="str">
        <f t="shared" si="161"/>
        <v>1+0,0819456542003818i</v>
      </c>
      <c r="U210" s="4">
        <f t="shared" si="173"/>
        <v>1.00335192741247</v>
      </c>
      <c r="V210" s="4">
        <f t="shared" si="174"/>
        <v>0.0817629655456038</v>
      </c>
      <c r="W210" t="str">
        <f t="shared" si="162"/>
        <v>1-0,235175665753647i</v>
      </c>
      <c r="X210" s="4">
        <f t="shared" si="175"/>
        <v>1.02728165259712</v>
      </c>
      <c r="Y210" s="4">
        <f t="shared" si="176"/>
        <v>-0.230978426208609</v>
      </c>
      <c r="Z210" t="str">
        <f t="shared" si="163"/>
        <v>0,999994352400237+0,016238319778228i</v>
      </c>
      <c r="AA210" s="4">
        <f t="shared" si="177"/>
        <v>1.00012618596935</v>
      </c>
      <c r="AB210" s="4">
        <f t="shared" si="178"/>
        <v>0.0162369844314152</v>
      </c>
      <c r="AC210" s="67" t="str">
        <f t="shared" si="179"/>
        <v>-0,377076289334195-5,24545637702969i</v>
      </c>
      <c r="AD210" s="68">
        <f t="shared" si="180"/>
        <v>14.4180505605461</v>
      </c>
      <c r="AE210" s="31">
        <f t="shared" si="181"/>
        <v>-94.1117069641241</v>
      </c>
      <c r="AF210" s="32" t="str">
        <f t="shared" si="182"/>
        <v>432,040091031901</v>
      </c>
      <c r="AG210" s="32" t="str">
        <f t="shared" si="164"/>
        <v>1+8,67149779898219i</v>
      </c>
      <c r="AH210" s="32">
        <f t="shared" si="183"/>
        <v>8.72896752644624</v>
      </c>
      <c r="AI210" s="32">
        <f t="shared" si="184"/>
        <v>1.4559831612099</v>
      </c>
      <c r="AJ210" s="32" t="str">
        <f t="shared" si="165"/>
        <v>1+0,0819456542003818i</v>
      </c>
      <c r="AK210" s="32">
        <f t="shared" si="185"/>
        <v>1.00335192741247</v>
      </c>
      <c r="AL210" s="32">
        <f t="shared" si="186"/>
        <v>0.0817629655456038</v>
      </c>
      <c r="AM210" s="32" t="str">
        <f t="shared" si="166"/>
        <v>1-0,0241922620369019i</v>
      </c>
      <c r="AN210" s="32">
        <f t="shared" si="187"/>
        <v>1.00029258996679</v>
      </c>
      <c r="AO210" s="32">
        <f t="shared" si="188"/>
        <v>-0.0241875440610975</v>
      </c>
      <c r="AP210" s="30" t="str">
        <f t="shared" si="189"/>
        <v>8,52112309972375-48,9391193963999i</v>
      </c>
      <c r="AQ210" s="32">
        <f t="shared" si="190"/>
        <v>33.9228302396095</v>
      </c>
      <c r="AR210" s="31">
        <f t="shared" si="191"/>
        <v>-80.1228615246942</v>
      </c>
      <c r="AS210" t="str">
        <f t="shared" si="167"/>
        <v>-0,000201496259351621</v>
      </c>
      <c r="AT210" t="str">
        <f t="shared" si="168"/>
        <v>0,00117431049099654i</v>
      </c>
      <c r="AU210">
        <f t="shared" si="192"/>
        <v>0.00117431049099654</v>
      </c>
      <c r="AV210">
        <f t="shared" si="193"/>
        <v>1.5707963267949</v>
      </c>
      <c r="AW210" t="str">
        <f t="shared" si="169"/>
        <v>1+0,0601225432401895i</v>
      </c>
      <c r="AX210">
        <f t="shared" si="194"/>
        <v>1.00180572977283</v>
      </c>
      <c r="AY210">
        <f t="shared" si="195"/>
        <v>0.0600502578930376</v>
      </c>
      <c r="AZ210" t="str">
        <f t="shared" si="170"/>
        <v>1+2,87436924810012i</v>
      </c>
      <c r="BA210">
        <f t="shared" si="196"/>
        <v>3.04335317937693</v>
      </c>
      <c r="BB210">
        <f t="shared" si="197"/>
        <v>1.23599140174844</v>
      </c>
      <c r="BC210" s="30" t="str">
        <f t="shared" si="198"/>
        <v>-0,481148560781911+0,200514743271473i</v>
      </c>
      <c r="BD210" s="32">
        <f t="shared" si="199"/>
        <v>-5.65894218001031</v>
      </c>
      <c r="BE210" s="31">
        <f t="shared" si="200"/>
        <v>157.376464498701</v>
      </c>
      <c r="BF210" s="30" t="str">
        <f t="shared" si="201"/>
        <v>1,23322105269995+2,44823443110253i</v>
      </c>
      <c r="BG210" s="68">
        <f t="shared" si="202"/>
        <v>8.75910838053576</v>
      </c>
      <c r="BH210" s="31">
        <f t="shared" si="203"/>
        <v>63.2647575345767</v>
      </c>
      <c r="BI210" s="30" t="str">
        <f t="shared" si="209"/>
        <v>5,71308884602351+25,2555976742376i</v>
      </c>
      <c r="BJ210" s="68">
        <f t="shared" si="204"/>
        <v>28.2638880595992</v>
      </c>
      <c r="BK210" s="31">
        <f t="shared" si="210"/>
        <v>77.2536029740065</v>
      </c>
      <c r="BL210" s="32">
        <f t="shared" si="205"/>
        <v>8.75910838053576</v>
      </c>
      <c r="BM210" s="31">
        <f t="shared" si="206"/>
        <v>63.2647575345767</v>
      </c>
      <c r="BO210">
        <f t="shared" si="207"/>
        <v>0</v>
      </c>
      <c r="BP210">
        <f t="shared" si="208"/>
        <v>0</v>
      </c>
    </row>
    <row r="211" spans="14:68">
      <c r="N211" s="7">
        <v>93</v>
      </c>
      <c r="O211" s="18">
        <f t="shared" si="211"/>
        <v>851.138038202378</v>
      </c>
      <c r="P211" s="86" t="str">
        <f t="shared" ref="P211:P274" si="212">COMPLEX(Adc,0)</f>
        <v>54,5454545454545</v>
      </c>
      <c r="Q211" s="4" t="str">
        <f t="shared" ref="Q211:Q274" si="213">IMSUM(COMPLEX(1,0),IMDIV(COMPLEX(0,2*PI()*O211),COMPLEX(wp_lf,0)))</f>
        <v>1+10,8901835962484i</v>
      </c>
      <c r="R211" s="4">
        <f t="shared" si="171"/>
        <v>10.9360001261886</v>
      </c>
      <c r="S211" s="4">
        <f t="shared" si="172"/>
        <v>1.47922730359413</v>
      </c>
      <c r="T211" s="4" t="str">
        <f t="shared" ref="T211:T274" si="214">IMSUM(COMPLEX(1,0),IMDIV(COMPLEX(0,2*PI()*O211),COMPLEX(wz_esr,0)))</f>
        <v>1+0,0838544136911127i</v>
      </c>
      <c r="U211" s="4">
        <f t="shared" si="173"/>
        <v>1.00350962262226</v>
      </c>
      <c r="V211" s="4">
        <f t="shared" si="174"/>
        <v>0.0836586962273156</v>
      </c>
      <c r="W211" t="str">
        <f t="shared" ref="W211:W274" si="215">IMSUB(COMPLEX(1,0),IMDIV(COMPLEX(0,2*PI()*O211),COMPLEX(wz_rhp,0)))</f>
        <v>1-0,240653610720668i</v>
      </c>
      <c r="X211" s="4">
        <f t="shared" si="175"/>
        <v>1.02854954200218</v>
      </c>
      <c r="Y211" s="4">
        <f t="shared" si="176"/>
        <v>-0.236162902152654</v>
      </c>
      <c r="Z211" t="str">
        <f t="shared" ref="Z211:Z274" si="216">IMSUM(COMPLEX(1,0),IMDIV(COMPLEX(0,2*PI()*O211),COMPLEX(Q*(wsl/2),0)),IMDIV(IMPOWER(COMPLEX(0,2*PI()*O211),2),IMPOWER(COMPLEX(wsl/2,0),2)))</f>
        <v>0,999994086237061+0,0166165588354747i</v>
      </c>
      <c r="AA211" s="4">
        <f t="shared" si="177"/>
        <v>1.00013213253881</v>
      </c>
      <c r="AB211" s="4">
        <f t="shared" si="178"/>
        <v>0.0166151279957898</v>
      </c>
      <c r="AC211" s="67" t="str">
        <f t="shared" si="179"/>
        <v>-0,398783864674044-5,13194731022037i</v>
      </c>
      <c r="AD211" s="68">
        <f t="shared" si="180"/>
        <v>14.2317886885721</v>
      </c>
      <c r="AE211" s="31">
        <f t="shared" si="181"/>
        <v>-94.4433055042049</v>
      </c>
      <c r="AF211" s="32" t="str">
        <f t="shared" si="182"/>
        <v>432,040091031901</v>
      </c>
      <c r="AG211" s="32" t="str">
        <f t="shared" ref="AG211:AG274" si="217">IMSUM(COMPLEX(1,0),IMDIV(COMPLEX(0,2*PI()*O211),COMPLEX(wp_lf_DCM,0)))</f>
        <v>1+8,87348293027647i</v>
      </c>
      <c r="AH211" s="32">
        <f t="shared" si="183"/>
        <v>8.92965281037891</v>
      </c>
      <c r="AI211" s="32">
        <f t="shared" si="184"/>
        <v>1.45857448949525</v>
      </c>
      <c r="AJ211" s="32" t="str">
        <f t="shared" ref="AJ211:AJ274" si="218">IMSUM(COMPLEX(1,0),IMDIV(COMPLEX(0,2*PI()*O211),COMPLEX(wz1_dcm,0)))</f>
        <v>1+0,0838544136911127i</v>
      </c>
      <c r="AK211" s="32">
        <f t="shared" si="185"/>
        <v>1.00350962262226</v>
      </c>
      <c r="AL211" s="32">
        <f t="shared" si="186"/>
        <v>0.0836586962273156</v>
      </c>
      <c r="AM211" s="32" t="str">
        <f t="shared" ref="AM211:AM274" si="219">IMSUB(COMPLEX(1,0),IMDIV(COMPLEX(0,2*PI()*O211),COMPLEX(wz2_dcm,0)))</f>
        <v>1-0,0247557722097815i</v>
      </c>
      <c r="AN211" s="32">
        <f t="shared" si="187"/>
        <v>1.00030637719536</v>
      </c>
      <c r="AO211" s="32">
        <f t="shared" si="188"/>
        <v>-0.0247507168912483</v>
      </c>
      <c r="AP211" s="30" t="str">
        <f t="shared" si="189"/>
        <v>8,27080757912459-47,8578874275074i</v>
      </c>
      <c r="AQ211" s="32">
        <f t="shared" si="190"/>
        <v>33.7268810824129</v>
      </c>
      <c r="AR211" s="31">
        <f t="shared" si="191"/>
        <v>-80.1949837579258</v>
      </c>
      <c r="AS211" t="str">
        <f t="shared" ref="AS211:AS274" si="220">COMPLEX(Adc_ea,0)</f>
        <v>-0,000201496259351621</v>
      </c>
      <c r="AT211" t="str">
        <f t="shared" ref="AT211:AT274" si="221">COMPLEX(0,2*PI()*O211*wp0_ea)</f>
        <v>0,00120166369619853i</v>
      </c>
      <c r="AU211">
        <f t="shared" si="192"/>
        <v>0.00120166369619853</v>
      </c>
      <c r="AV211">
        <f t="shared" si="193"/>
        <v>1.5707963267949</v>
      </c>
      <c r="AW211" t="str">
        <f t="shared" ref="AW211:AW274" si="222">IMSUM(COMPLEX(1,0),IMDIV(COMPLEX(0,2*PI()*O211),COMPLEX(wp1_ea,0)))</f>
        <v>1+0,0615229771757827i</v>
      </c>
      <c r="AX211">
        <f t="shared" si="194"/>
        <v>1.00189075089082</v>
      </c>
      <c r="AY211">
        <f t="shared" si="195"/>
        <v>0.0614455299232241</v>
      </c>
      <c r="AZ211" t="str">
        <f t="shared" ref="AZ211:AZ274" si="223">IMSUM(COMPLEX(1,0),IMDIV(COMPLEX(0,2*PI()*O211),COMPLEX(wz_ea,0)))</f>
        <v>1+2,94132190880816i</v>
      </c>
      <c r="BA211">
        <f t="shared" si="196"/>
        <v>3.10666615059212</v>
      </c>
      <c r="BB211">
        <f t="shared" si="197"/>
        <v>1.24307288985392</v>
      </c>
      <c r="BC211" s="30" t="str">
        <f t="shared" si="198"/>
        <v>-0,48106690307065+0,197277742252627i</v>
      </c>
      <c r="BD211" s="32">
        <f t="shared" si="199"/>
        <v>-5.68083469000749</v>
      </c>
      <c r="BE211" s="31">
        <f t="shared" si="200"/>
        <v>157.702260681215</v>
      </c>
      <c r="BF211" s="30" t="str">
        <f t="shared" si="201"/>
        <v>1,204260697493+2,39013881877979i</v>
      </c>
      <c r="BG211" s="68">
        <f t="shared" si="202"/>
        <v>8.55095399856459</v>
      </c>
      <c r="BH211" s="31">
        <f t="shared" si="203"/>
        <v>63.2589551770099</v>
      </c>
      <c r="BI211" s="30" t="str">
        <f t="shared" si="209"/>
        <v>5,46248419269632+24,6544919380704i</v>
      </c>
      <c r="BJ211" s="68">
        <f t="shared" si="204"/>
        <v>28.0460463924054</v>
      </c>
      <c r="BK211" s="31">
        <f t="shared" si="210"/>
        <v>77.5072769232889</v>
      </c>
      <c r="BL211" s="32">
        <f t="shared" si="205"/>
        <v>8.55095399856459</v>
      </c>
      <c r="BM211" s="31">
        <f t="shared" si="206"/>
        <v>63.2589551770099</v>
      </c>
      <c r="BO211">
        <f t="shared" si="207"/>
        <v>0</v>
      </c>
      <c r="BP211">
        <f t="shared" si="208"/>
        <v>0</v>
      </c>
    </row>
    <row r="212" spans="14:68">
      <c r="N212" s="7">
        <v>94</v>
      </c>
      <c r="O212" s="18">
        <f t="shared" si="211"/>
        <v>870.963589956081</v>
      </c>
      <c r="P212" s="86" t="str">
        <f t="shared" si="212"/>
        <v>54,5454545454545</v>
      </c>
      <c r="Q212" s="4" t="str">
        <f t="shared" si="213"/>
        <v>1+11,1438485586918i</v>
      </c>
      <c r="R212" s="4">
        <f t="shared" ref="R212:R275" si="224">IMABS(Q212)</f>
        <v>11.1886263991188</v>
      </c>
      <c r="S212" s="4">
        <f t="shared" ref="S212:S275" si="225">IMARGUMENT(Q212)</f>
        <v>1.48130042872513</v>
      </c>
      <c r="T212" s="4" t="str">
        <f t="shared" si="214"/>
        <v>1+0,0858076339019268i</v>
      </c>
      <c r="U212" s="4">
        <f t="shared" ref="U212:U275" si="226">IMABS(T212)</f>
        <v>1.00367472322254</v>
      </c>
      <c r="V212" s="4">
        <f t="shared" ref="V212:V275" si="227">IMARGUMENT(T212)</f>
        <v>0.0855979603080713</v>
      </c>
      <c r="W212" t="str">
        <f t="shared" si="215"/>
        <v>1-0,24625915341752i</v>
      </c>
      <c r="X212" s="4">
        <f t="shared" ref="X212:X275" si="228">IMABS(W212)</f>
        <v>1.02987551220617</v>
      </c>
      <c r="Y212" s="4">
        <f t="shared" ref="Y212:Y275" si="229">IMARGUMENT(W212)</f>
        <v>-0.241454779197032</v>
      </c>
      <c r="Z212" t="str">
        <f t="shared" si="216"/>
        <v>0,99999380753+0,0170036082121621i</v>
      </c>
      <c r="AA212" s="4">
        <f t="shared" ref="AA212:AA275" si="230">IMABS(Z212)</f>
        <v>1.00013835932364</v>
      </c>
      <c r="AB212" s="4">
        <f t="shared" ref="AB212:AB275" si="231">IMARGUMENT(Z212)</f>
        <v>0.0170020750512662</v>
      </c>
      <c r="AC212" s="67" t="str">
        <f t="shared" ref="AC212:AC275" si="232">(IMDIV(IMPRODUCT(P212,T212,W212),IMPRODUCT(Q212,Z212)))</f>
        <v>-0,419536364591565-5,02098166217885i</v>
      </c>
      <c r="AD212" s="68">
        <f t="shared" ref="AD212:AD275" si="233">20*LOG(IMABS(AC212))</f>
        <v>14.0459885391955</v>
      </c>
      <c r="AE212" s="31">
        <f t="shared" ref="AE212:AE275" si="234">(180/PI())*IMARGUMENT(AC212)</f>
        <v>-94.7763478309438</v>
      </c>
      <c r="AF212" s="32" t="str">
        <f t="shared" ref="AF212:AF275" si="235">COMPLEX($B$68,0)</f>
        <v>432,040091031901</v>
      </c>
      <c r="AG212" s="32" t="str">
        <f t="shared" si="217"/>
        <v>1+9,08017289967478i</v>
      </c>
      <c r="AH212" s="32">
        <f t="shared" ref="AH212:AH275" si="236">IMABS(AG212)</f>
        <v>9.13507196950239</v>
      </c>
      <c r="AI212" s="32">
        <f t="shared" ref="AI212:AI275" si="237">IMARGUMENT(AG212)</f>
        <v>1.46110829525372</v>
      </c>
      <c r="AJ212" s="32" t="str">
        <f t="shared" si="218"/>
        <v>1+0,0858076339019268i</v>
      </c>
      <c r="AK212" s="32">
        <f t="shared" ref="AK212:AK275" si="238">IMABS(AJ212)</f>
        <v>1.00367472322254</v>
      </c>
      <c r="AL212" s="32">
        <f t="shared" ref="AL212:AL275" si="239">IMARGUMENT(AJ212)</f>
        <v>0.0855979603080713</v>
      </c>
      <c r="AM212" s="32" t="str">
        <f t="shared" si="219"/>
        <v>1-0,0253324082207679i</v>
      </c>
      <c r="AN212" s="32">
        <f t="shared" ref="AN212:AN275" si="240">IMABS(AM212)</f>
        <v>1.00032081399232</v>
      </c>
      <c r="AO212" s="32">
        <f t="shared" ref="AO212:AO275" si="241">IMARGUMENT(AM212)</f>
        <v>-0.025326991443188</v>
      </c>
      <c r="AP212" s="30" t="str">
        <f t="shared" ref="AP212:AP275" si="242">(IMDIV(IMPRODUCT(AF212,AJ212,AM212),IMPRODUCT(AG212)))</f>
        <v>8,03148174144468-46,7995208444361i</v>
      </c>
      <c r="AQ212" s="32">
        <f t="shared" ref="AQ212:AQ275" si="243">20*LOG(IMABS(AP212))</f>
        <v>33.5308873598602</v>
      </c>
      <c r="AR212" s="31">
        <f t="shared" ref="AR212:AR275" si="244">(180/PI())*IMARGUMENT(AP212)</f>
        <v>-80.2620665864707</v>
      </c>
      <c r="AS212" t="str">
        <f t="shared" si="220"/>
        <v>-0,000201496259351621</v>
      </c>
      <c r="AT212" t="str">
        <f t="shared" si="221"/>
        <v>0,00122965403939815i</v>
      </c>
      <c r="AU212">
        <f t="shared" ref="AU212:AU275" si="245">IMABS(AT212)</f>
        <v>0.00122965403939815</v>
      </c>
      <c r="AV212">
        <f t="shared" ref="AV212:AV275" si="246">IMARGUMENT(AT212)</f>
        <v>1.5707963267949</v>
      </c>
      <c r="AW212" t="str">
        <f t="shared" si="222"/>
        <v>1+0,062956031408227i</v>
      </c>
      <c r="AX212">
        <f t="shared" ref="AX212:AX275" si="247">IMABS(AW212)</f>
        <v>1.00197977119834</v>
      </c>
      <c r="AY212">
        <f t="shared" ref="AY212:AY275" si="248">IMARGUMENT(AW212)</f>
        <v>0.0628730540351938</v>
      </c>
      <c r="AZ212" t="str">
        <f t="shared" si="223"/>
        <v>1+3,00983409732523i</v>
      </c>
      <c r="BA212">
        <f t="shared" ref="BA212:BA275" si="249">IMABS(AZ212)</f>
        <v>3.17160862866489</v>
      </c>
      <c r="BB212">
        <f t="shared" ref="BB212:BB275" si="250">IMARGUMENT(AZ212)</f>
        <v>1.25002628906672</v>
      </c>
      <c r="BC212" s="30" t="str">
        <f t="shared" ref="BC212:BC275" si="251">IMPRODUCT(AS212,IMDIV(AZ212,IMPRODUCT(AT212,AW212)))</f>
        <v>-0,48098142665184+0,194144868717171i</v>
      </c>
      <c r="BD212" s="32">
        <f t="shared" ref="BD212:BD275" si="252">20*LOG(IMABS(BC212))</f>
        <v>-5.70190631246827</v>
      </c>
      <c r="BE212" s="31">
        <f t="shared" ref="BE212:BE275" si="253">(180/PI())*IMARGUMENT(BC212)</f>
        <v>158.018870002609</v>
      </c>
      <c r="BF212" s="30" t="str">
        <f t="shared" ref="BF212:BF275" si="254">IMPRODUCT(AC212,BC212)</f>
        <v>1,17658702480861+2,3335480906418i</v>
      </c>
      <c r="BG212" s="68">
        <f t="shared" ref="BG212:BG275" si="255">20*LOG(IMABS(BF212))</f>
        <v>8.34408222672718</v>
      </c>
      <c r="BH212" s="31">
        <f t="shared" ref="BH212:BH275" si="256">(180/PI())*IMARGUMENT(BF212)</f>
        <v>63.2425221716649</v>
      </c>
      <c r="BI212" s="30" t="str">
        <f t="shared" si="209"/>
        <v>5,22289328424129+24,0689712706765i</v>
      </c>
      <c r="BJ212" s="68">
        <f t="shared" ref="BJ212:BJ275" si="257">20*LOG(IMABS(BI212))</f>
        <v>27.8289810473919</v>
      </c>
      <c r="BK212" s="31">
        <f t="shared" si="210"/>
        <v>77.756803416138</v>
      </c>
      <c r="BL212" s="32">
        <f t="shared" ref="BL212:BL275" si="258">IF($B$31=0,BJ212,BG212)</f>
        <v>8.34408222672718</v>
      </c>
      <c r="BM212" s="31">
        <f t="shared" ref="BM212:BM275" si="259">IF($B$31=0,BK212,BH212)</f>
        <v>63.2425221716649</v>
      </c>
      <c r="BO212">
        <f t="shared" ref="BO212:BO275" si="260">SUM((BL213&lt;0)*(BL212&gt;0))*O212</f>
        <v>0</v>
      </c>
      <c r="BP212">
        <f t="shared" ref="BP212:BP275" si="261">IF(BO212&gt;0,BM212,0)</f>
        <v>0</v>
      </c>
    </row>
    <row r="213" spans="14:68">
      <c r="N213" s="7">
        <v>95</v>
      </c>
      <c r="O213" s="18">
        <f t="shared" si="211"/>
        <v>891.250938133747</v>
      </c>
      <c r="P213" s="86" t="str">
        <f t="shared" si="212"/>
        <v>54,5454545454545</v>
      </c>
      <c r="Q213" s="4" t="str">
        <f t="shared" si="213"/>
        <v>1+11,4034221371473i</v>
      </c>
      <c r="R213" s="4">
        <f t="shared" si="224"/>
        <v>11.44718465117</v>
      </c>
      <c r="S213" s="4">
        <f t="shared" si="225"/>
        <v>1.48332710937378</v>
      </c>
      <c r="T213" s="4" t="str">
        <f t="shared" si="214"/>
        <v>1+0,0878063504560343i</v>
      </c>
      <c r="U213" s="4">
        <f t="shared" si="226"/>
        <v>1.00384757567093</v>
      </c>
      <c r="V213" s="4">
        <f t="shared" si="227"/>
        <v>0.087581727634311</v>
      </c>
      <c r="W213" t="str">
        <f t="shared" si="215"/>
        <v>1-0,251995265977139i</v>
      </c>
      <c r="X213" s="4">
        <f t="shared" si="228"/>
        <v>1.0312621461466</v>
      </c>
      <c r="Y213" s="4">
        <f t="shared" si="229"/>
        <v>-0.24685567710181</v>
      </c>
      <c r="Z213" t="str">
        <f t="shared" si="216"/>
        <v>0,99999351568788+0,0173996731269929i</v>
      </c>
      <c r="AA213" s="4">
        <f t="shared" si="230"/>
        <v>1.00014487952633</v>
      </c>
      <c r="AB213" s="4">
        <f t="shared" si="231"/>
        <v>0.0173980303283408</v>
      </c>
      <c r="AC213" s="67" t="str">
        <f t="shared" si="232"/>
        <v>-0,439375671852177-4,91251225090169i</v>
      </c>
      <c r="AD213" s="68">
        <f t="shared" si="233"/>
        <v>13.8606762445452</v>
      </c>
      <c r="AE213" s="31">
        <f t="shared" si="234"/>
        <v>-95.11094180498</v>
      </c>
      <c r="AF213" s="32" t="str">
        <f t="shared" si="235"/>
        <v>432,040091031901</v>
      </c>
      <c r="AG213" s="32" t="str">
        <f t="shared" si="217"/>
        <v>1+9,29167729693483i</v>
      </c>
      <c r="AH213" s="32">
        <f t="shared" si="236"/>
        <v>9.34533396890524</v>
      </c>
      <c r="AI213" s="32">
        <f t="shared" si="237"/>
        <v>1.46358579173236</v>
      </c>
      <c r="AJ213" s="32" t="str">
        <f t="shared" si="218"/>
        <v>1+0,0878063504560343i</v>
      </c>
      <c r="AK213" s="32">
        <f t="shared" si="238"/>
        <v>1.00384757567093</v>
      </c>
      <c r="AL213" s="32">
        <f t="shared" si="239"/>
        <v>0.087581727634311</v>
      </c>
      <c r="AM213" s="32" t="str">
        <f t="shared" si="219"/>
        <v>1-0,0259224758099072i</v>
      </c>
      <c r="AN213" s="32">
        <f t="shared" si="240"/>
        <v>1.00033593095126</v>
      </c>
      <c r="AO213" s="32">
        <f t="shared" si="241"/>
        <v>-0.0259166717334244</v>
      </c>
      <c r="AP213" s="30" t="str">
        <f t="shared" si="242"/>
        <v>7,80267485957937-45,7636220125983i</v>
      </c>
      <c r="AQ213" s="32">
        <f t="shared" si="243"/>
        <v>33.3348573147005</v>
      </c>
      <c r="AR213" s="31">
        <f t="shared" si="244"/>
        <v>-80.3241413750181</v>
      </c>
      <c r="AS213" t="str">
        <f t="shared" si="220"/>
        <v>-0,000201496259351621</v>
      </c>
      <c r="AT213" t="str">
        <f t="shared" si="221"/>
        <v>0,00125829636144585i</v>
      </c>
      <c r="AU213">
        <f t="shared" si="245"/>
        <v>0.00125829636144585</v>
      </c>
      <c r="AV213">
        <f t="shared" si="246"/>
        <v>1.5707963267949</v>
      </c>
      <c r="AW213" t="str">
        <f t="shared" si="222"/>
        <v>1+0,0644224657618459i</v>
      </c>
      <c r="AX213">
        <f t="shared" si="247"/>
        <v>1.00207297842764</v>
      </c>
      <c r="AY213">
        <f t="shared" si="248"/>
        <v>0.0643335638356387</v>
      </c>
      <c r="AZ213" t="str">
        <f t="shared" si="223"/>
        <v>1+3,07994213972059i</v>
      </c>
      <c r="BA213">
        <f t="shared" si="249"/>
        <v>3.23821611138396</v>
      </c>
      <c r="BB213">
        <f t="shared" si="250"/>
        <v>1.25685259571511</v>
      </c>
      <c r="BC213" s="30" t="str">
        <f t="shared" si="251"/>
        <v>-0,48089195440356+0,191114428101833i</v>
      </c>
      <c r="BD213" s="32">
        <f t="shared" si="252"/>
        <v>-5.7221894926165</v>
      </c>
      <c r="BE213" s="31">
        <f t="shared" si="253"/>
        <v>158.326307515721</v>
      </c>
      <c r="BF213" s="30" t="str">
        <f t="shared" si="254"/>
        <v>1,1501441949287+2,27841658711966i</v>
      </c>
      <c r="BG213" s="68">
        <f t="shared" si="255"/>
        <v>8.13848675192875</v>
      </c>
      <c r="BH213" s="31">
        <f t="shared" si="256"/>
        <v>63.2153657107407</v>
      </c>
      <c r="BI213" s="30" t="str">
        <f t="shared" si="209"/>
        <v>4,99384488600753+23,4985613736772i</v>
      </c>
      <c r="BJ213" s="68">
        <f t="shared" si="257"/>
        <v>27.612667822084</v>
      </c>
      <c r="BK213" s="31">
        <f t="shared" si="210"/>
        <v>78.0021661407027</v>
      </c>
      <c r="BL213" s="32">
        <f t="shared" si="258"/>
        <v>8.13848675192875</v>
      </c>
      <c r="BM213" s="31">
        <f t="shared" si="259"/>
        <v>63.2153657107407</v>
      </c>
      <c r="BO213">
        <f t="shared" si="260"/>
        <v>0</v>
      </c>
      <c r="BP213">
        <f t="shared" si="261"/>
        <v>0</v>
      </c>
    </row>
    <row r="214" spans="14:68">
      <c r="N214" s="7">
        <v>96</v>
      </c>
      <c r="O214" s="18">
        <f t="shared" si="211"/>
        <v>912.01083935591</v>
      </c>
      <c r="P214" s="86" t="str">
        <f t="shared" si="212"/>
        <v>54,5454545454545</v>
      </c>
      <c r="Q214" s="4" t="str">
        <f t="shared" si="213"/>
        <v>1+11,669041960962i</v>
      </c>
      <c r="R214" s="4">
        <f t="shared" si="224"/>
        <v>11.7118119984352</v>
      </c>
      <c r="S214" s="4">
        <f t="shared" si="225"/>
        <v>1.48530835348043</v>
      </c>
      <c r="T214" s="4" t="str">
        <f t="shared" si="214"/>
        <v>1+0,0898516230994079i</v>
      </c>
      <c r="U214" s="4">
        <f t="shared" si="226"/>
        <v>1.00402854250942</v>
      </c>
      <c r="V214" s="4">
        <f t="shared" si="227"/>
        <v>0.0896109875368015</v>
      </c>
      <c r="W214" t="str">
        <f t="shared" si="215"/>
        <v>1-0,257864989762331i</v>
      </c>
      <c r="X214" s="4">
        <f t="shared" si="228"/>
        <v>1.0327121345976</v>
      </c>
      <c r="Y214" s="4">
        <f t="shared" si="229"/>
        <v>-0.252367198613946</v>
      </c>
      <c r="Z214" t="str">
        <f t="shared" si="216"/>
        <v>0,999993210091664+0,0178049635788276i</v>
      </c>
      <c r="AA214" s="4">
        <f t="shared" si="230"/>
        <v>1.00015170697123</v>
      </c>
      <c r="AB214" s="4">
        <f t="shared" si="231"/>
        <v>0.0178032033027704</v>
      </c>
      <c r="AC214" s="67" t="str">
        <f t="shared" si="232"/>
        <v>-0,458341917252527-4,8064924592418i</v>
      </c>
      <c r="AD214" s="68">
        <f t="shared" si="233"/>
        <v>13.6758786317712</v>
      </c>
      <c r="AE214" s="31">
        <f t="shared" si="234"/>
        <v>-95.447192325277</v>
      </c>
      <c r="AF214" s="32" t="str">
        <f t="shared" si="235"/>
        <v>432,040091031901</v>
      </c>
      <c r="AG214" s="32" t="str">
        <f t="shared" si="217"/>
        <v>1+9,50810826448759i</v>
      </c>
      <c r="AH214" s="32">
        <f t="shared" si="236"/>
        <v>9.56055033819796</v>
      </c>
      <c r="AI214" s="32">
        <f t="shared" si="237"/>
        <v>1.46600817081166</v>
      </c>
      <c r="AJ214" s="32" t="str">
        <f t="shared" si="218"/>
        <v>1+0,0898516230994079i</v>
      </c>
      <c r="AK214" s="32">
        <f t="shared" si="238"/>
        <v>1.00402854250942</v>
      </c>
      <c r="AL214" s="32">
        <f t="shared" si="239"/>
        <v>0.0896109875368015</v>
      </c>
      <c r="AM214" s="32" t="str">
        <f t="shared" si="219"/>
        <v>1-0,0265262878388454i</v>
      </c>
      <c r="AN214" s="32">
        <f t="shared" si="240"/>
        <v>1.00035176010567</v>
      </c>
      <c r="AO214" s="32">
        <f t="shared" si="241"/>
        <v>-0.0265200687769504</v>
      </c>
      <c r="AP214" s="30" t="str">
        <f t="shared" si="242"/>
        <v>7,58393534491276-44,7497947197054i</v>
      </c>
      <c r="AQ214" s="32">
        <f t="shared" si="243"/>
        <v>33.1387991228636</v>
      </c>
      <c r="AR214" s="31">
        <f t="shared" si="244"/>
        <v>-80.3812375486597</v>
      </c>
      <c r="AS214" t="str">
        <f t="shared" si="220"/>
        <v>-0,000201496259351621</v>
      </c>
      <c r="AT214" t="str">
        <f t="shared" si="221"/>
        <v>0,00128760584887991i</v>
      </c>
      <c r="AU214">
        <f t="shared" si="245"/>
        <v>0.00128760584887991</v>
      </c>
      <c r="AV214">
        <f t="shared" si="246"/>
        <v>1.5707963267949</v>
      </c>
      <c r="AW214" t="str">
        <f t="shared" si="222"/>
        <v>1+0,0659230577595437i</v>
      </c>
      <c r="AX214">
        <f t="shared" si="247"/>
        <v>1.0021705690871</v>
      </c>
      <c r="AY214">
        <f t="shared" si="248"/>
        <v>0.0658278087689565</v>
      </c>
      <c r="AZ214" t="str">
        <f t="shared" si="223"/>
        <v>1+3,15168320820627i</v>
      </c>
      <c r="BA214">
        <f t="shared" si="249"/>
        <v>3.3065249197442</v>
      </c>
      <c r="BB214">
        <f t="shared" si="250"/>
        <v>1.26355288356543</v>
      </c>
      <c r="BC214" s="30" t="str">
        <f t="shared" si="251"/>
        <v>-0,480798301128605+0,188184777793391i</v>
      </c>
      <c r="BD214" s="32">
        <f t="shared" si="252"/>
        <v>-5.74171594177186</v>
      </c>
      <c r="BE214" s="31">
        <f t="shared" si="253"/>
        <v>158.624591802829</v>
      </c>
      <c r="BF214" s="30" t="str">
        <f t="shared" si="254"/>
        <v>1,12487873055907+2,22470043693934i</v>
      </c>
      <c r="BG214" s="68">
        <f t="shared" si="255"/>
        <v>7.93416268999936</v>
      </c>
      <c r="BH214" s="31">
        <f t="shared" si="256"/>
        <v>63.1773994775517</v>
      </c>
      <c r="BI214" s="30" t="str">
        <f t="shared" si="209"/>
        <v>4,77488694592439+22,94280646477i</v>
      </c>
      <c r="BJ214" s="68">
        <f t="shared" si="257"/>
        <v>27.3970831810918</v>
      </c>
      <c r="BK214" s="31">
        <f t="shared" si="210"/>
        <v>78.2433542541691</v>
      </c>
      <c r="BL214" s="32">
        <f t="shared" si="258"/>
        <v>7.93416268999936</v>
      </c>
      <c r="BM214" s="31">
        <f t="shared" si="259"/>
        <v>63.1773994775517</v>
      </c>
      <c r="BO214">
        <f t="shared" si="260"/>
        <v>0</v>
      </c>
      <c r="BP214">
        <f t="shared" si="261"/>
        <v>0</v>
      </c>
    </row>
    <row r="215" spans="14:68">
      <c r="N215" s="7">
        <v>97</v>
      </c>
      <c r="O215" s="18">
        <f t="shared" si="211"/>
        <v>933.254300796991</v>
      </c>
      <c r="P215" s="86" t="str">
        <f t="shared" si="212"/>
        <v>54,5454545454545</v>
      </c>
      <c r="Q215" s="4" t="str">
        <f t="shared" si="213"/>
        <v>1+11,9408488652825i</v>
      </c>
      <c r="R215" s="4">
        <f t="shared" si="224"/>
        <v>11.9826487732687</v>
      </c>
      <c r="S215" s="4">
        <f t="shared" si="225"/>
        <v>1.48724514927615</v>
      </c>
      <c r="T215" s="4" t="str">
        <f t="shared" si="214"/>
        <v>1+0,0919445362626755i</v>
      </c>
      <c r="U215" s="4">
        <f t="shared" si="226"/>
        <v>1.00421800309921</v>
      </c>
      <c r="V215" s="4">
        <f t="shared" si="227"/>
        <v>0.0916867490687297</v>
      </c>
      <c r="W215" t="str">
        <f t="shared" si="215"/>
        <v>1-0,263871436978342i</v>
      </c>
      <c r="X215" s="4">
        <f t="shared" si="228"/>
        <v>1.03422828004895</v>
      </c>
      <c r="Y215" s="4">
        <f t="shared" si="229"/>
        <v>-0.257990926067058</v>
      </c>
      <c r="Z215" t="str">
        <f t="shared" si="216"/>
        <v>0,999992890093143+0,0182196944580283i</v>
      </c>
      <c r="AA215" s="4">
        <f t="shared" si="230"/>
        <v>1.00015885613385</v>
      </c>
      <c r="AB215" s="4">
        <f t="shared" si="231"/>
        <v>0.0182178083044219</v>
      </c>
      <c r="AC215" s="67" t="str">
        <f t="shared" si="232"/>
        <v>-0,476473548824137-4,70287625860765i</v>
      </c>
      <c r="AD215" s="68">
        <f t="shared" si="233"/>
        <v>13.4916232498342</v>
      </c>
      <c r="AE215" s="31">
        <f t="shared" si="234"/>
        <v>-95.78520114005</v>
      </c>
      <c r="AF215" s="32" t="str">
        <f t="shared" si="235"/>
        <v>432,040091031901</v>
      </c>
      <c r="AG215" s="32" t="str">
        <f t="shared" si="217"/>
        <v>1+9,72958055689686i</v>
      </c>
      <c r="AH215" s="32">
        <f t="shared" si="236"/>
        <v>9.78083523085556</v>
      </c>
      <c r="AI215" s="32">
        <f t="shared" si="237"/>
        <v>1.46837660309247</v>
      </c>
      <c r="AJ215" s="32" t="str">
        <f t="shared" si="218"/>
        <v>1+0,0919445362626755i</v>
      </c>
      <c r="AK215" s="32">
        <f t="shared" si="238"/>
        <v>1.00421800309921</v>
      </c>
      <c r="AL215" s="32">
        <f t="shared" si="239"/>
        <v>0.0916867490687297</v>
      </c>
      <c r="AM215" s="32" t="str">
        <f t="shared" si="219"/>
        <v>1-0,0271441644567127i</v>
      </c>
      <c r="AN215" s="32">
        <f t="shared" si="240"/>
        <v>1.00036833499669</v>
      </c>
      <c r="AO215" s="32">
        <f t="shared" si="241"/>
        <v>-0.0271375007443421</v>
      </c>
      <c r="AP215" s="30" t="str">
        <f t="shared" si="242"/>
        <v>7,37483005924453-43,7576446208949i</v>
      </c>
      <c r="AQ215" s="32">
        <f t="shared" si="243"/>
        <v>32.9427209087955</v>
      </c>
      <c r="AR215" s="31">
        <f t="shared" si="244"/>
        <v>-80.4333825932254</v>
      </c>
      <c r="AS215" t="str">
        <f t="shared" si="220"/>
        <v>-0,000201496259351621</v>
      </c>
      <c r="AT215" t="str">
        <f t="shared" si="221"/>
        <v>0,00131759804197852i</v>
      </c>
      <c r="AU215">
        <f t="shared" si="245"/>
        <v>0.00131759804197852</v>
      </c>
      <c r="AV215">
        <f t="shared" si="246"/>
        <v>1.5707963267949</v>
      </c>
      <c r="AW215" t="str">
        <f t="shared" si="222"/>
        <v>1+0,0674586030350604i</v>
      </c>
      <c r="AX215">
        <f t="shared" si="247"/>
        <v>1.00227274886801</v>
      </c>
      <c r="AY215">
        <f t="shared" si="248"/>
        <v>0.0673565543981371</v>
      </c>
      <c r="AZ215" t="str">
        <f t="shared" si="223"/>
        <v>1+3,22509534084639i</v>
      </c>
      <c r="BA215">
        <f t="shared" si="249"/>
        <v>3.37657222009971</v>
      </c>
      <c r="BB215">
        <f t="shared" si="250"/>
        <v>1.27012829794289</v>
      </c>
      <c r="BC215" s="30" t="str">
        <f t="shared" si="251"/>
        <v>-0,480700273199817+0,185354326092821i</v>
      </c>
      <c r="BD215" s="32">
        <f t="shared" si="252"/>
        <v>-5.76051663724485</v>
      </c>
      <c r="BE215" s="31">
        <f t="shared" si="253"/>
        <v>158.913744622705</v>
      </c>
      <c r="BF215" s="30" t="str">
        <f t="shared" si="254"/>
        <v>1,1007394247044+2,17235746879428i</v>
      </c>
      <c r="BG215" s="68">
        <f t="shared" si="255"/>
        <v>7.73110661258934</v>
      </c>
      <c r="BH215" s="31">
        <f t="shared" si="256"/>
        <v>63.1285434826554</v>
      </c>
      <c r="BI215" s="30" t="str">
        <f t="shared" si="209"/>
        <v>4,56558590583406+22,401268379525i</v>
      </c>
      <c r="BJ215" s="68">
        <f t="shared" si="257"/>
        <v>27.1822042715506</v>
      </c>
      <c r="BK215" s="31">
        <f t="shared" si="210"/>
        <v>78.48036202948</v>
      </c>
      <c r="BL215" s="32">
        <f t="shared" si="258"/>
        <v>7.73110661258934</v>
      </c>
      <c r="BM215" s="31">
        <f t="shared" si="259"/>
        <v>63.1285434826554</v>
      </c>
      <c r="BO215">
        <f t="shared" si="260"/>
        <v>0</v>
      </c>
      <c r="BP215">
        <f t="shared" si="261"/>
        <v>0</v>
      </c>
    </row>
    <row r="216" spans="14:68">
      <c r="N216" s="7">
        <v>98</v>
      </c>
      <c r="O216" s="18">
        <f t="shared" si="211"/>
        <v>954.992586021437</v>
      </c>
      <c r="P216" s="86" t="str">
        <f t="shared" si="212"/>
        <v>54,5454545454545</v>
      </c>
      <c r="Q216" s="4" t="str">
        <f t="shared" si="213"/>
        <v>1+12,2189869657272i</v>
      </c>
      <c r="R216" s="4">
        <f t="shared" si="224"/>
        <v>12.2598385987994</v>
      </c>
      <c r="S216" s="4">
        <f t="shared" si="225"/>
        <v>1.48913846552127</v>
      </c>
      <c r="T216" s="4" t="str">
        <f t="shared" si="214"/>
        <v>1+0,0940861996360996i</v>
      </c>
      <c r="U216" s="4">
        <f t="shared" si="226"/>
        <v>1.00441635438794</v>
      </c>
      <c r="V216" s="4">
        <f t="shared" si="227"/>
        <v>0.0938100412346756</v>
      </c>
      <c r="W216" t="str">
        <f t="shared" si="215"/>
        <v>1-0,27001779232299i</v>
      </c>
      <c r="X216" s="4">
        <f t="shared" si="228"/>
        <v>1.03581350067036</v>
      </c>
      <c r="Y216" s="4">
        <f t="shared" si="229"/>
        <v>-0.263728417781609</v>
      </c>
      <c r="Z216" t="str">
        <f t="shared" si="216"/>
        <v>0,999992555013556+0,0186440856603969i</v>
      </c>
      <c r="AA216" s="4">
        <f t="shared" si="230"/>
        <v>1.00016634217147</v>
      </c>
      <c r="AB216" s="4">
        <f t="shared" si="231"/>
        <v>0.0186420646285392</v>
      </c>
      <c r="AC216" s="67" t="str">
        <f t="shared" si="232"/>
        <v>-0,493807398821504-4,60161822996692i</v>
      </c>
      <c r="AD216" s="68">
        <f t="shared" si="233"/>
        <v>13.307938395571</v>
      </c>
      <c r="AE216" s="31">
        <f t="shared" si="234"/>
        <v>-96.125066647436</v>
      </c>
      <c r="AF216" s="32" t="str">
        <f t="shared" si="235"/>
        <v>432,040091031901</v>
      </c>
      <c r="AG216" s="32" t="str">
        <f t="shared" si="217"/>
        <v>1+9,95621160170365i</v>
      </c>
      <c r="AH216" s="32">
        <f t="shared" si="236"/>
        <v>10.0063054849379</v>
      </c>
      <c r="AI216" s="32">
        <f t="shared" si="237"/>
        <v>1.47069223800562</v>
      </c>
      <c r="AJ216" s="32" t="str">
        <f t="shared" si="218"/>
        <v>1+0,0940861996360996i</v>
      </c>
      <c r="AK216" s="32">
        <f t="shared" si="238"/>
        <v>1.00441635438794</v>
      </c>
      <c r="AL216" s="32">
        <f t="shared" si="239"/>
        <v>0.0938100412346756</v>
      </c>
      <c r="AM216" s="32" t="str">
        <f t="shared" si="219"/>
        <v>1-0,0277764332698705i</v>
      </c>
      <c r="AN216" s="32">
        <f t="shared" si="240"/>
        <v>1.00038569074392</v>
      </c>
      <c r="AO216" s="32">
        <f t="shared" si="241"/>
        <v>-0.0277692931220927</v>
      </c>
      <c r="AP216" s="30" t="str">
        <f t="shared" si="242"/>
        <v>7,17494364330166-42,7867796458402i</v>
      </c>
      <c r="AQ216" s="32">
        <f t="shared" si="243"/>
        <v>32.746630760749</v>
      </c>
      <c r="AR216" s="31">
        <f t="shared" si="244"/>
        <v>-80.4806020576342</v>
      </c>
      <c r="AS216" t="str">
        <f t="shared" si="220"/>
        <v>-0,000201496259351621</v>
      </c>
      <c r="AT216" t="str">
        <f t="shared" si="221"/>
        <v>0,00134828884299946i</v>
      </c>
      <c r="AU216">
        <f t="shared" si="245"/>
        <v>0.00134828884299946</v>
      </c>
      <c r="AV216">
        <f t="shared" si="246"/>
        <v>1.5707963267949</v>
      </c>
      <c r="AW216" t="str">
        <f t="shared" si="222"/>
        <v>1+0,0690299157548266i</v>
      </c>
      <c r="AX216">
        <f t="shared" si="247"/>
        <v>1.00237973306982</v>
      </c>
      <c r="AY216">
        <f t="shared" si="248"/>
        <v>0.0689205826860611</v>
      </c>
      <c r="AZ216" t="str">
        <f t="shared" si="223"/>
        <v>1+3,30021746172543i</v>
      </c>
      <c r="BA216">
        <f t="shared" si="249"/>
        <v>3.44839604666828</v>
      </c>
      <c r="BB216">
        <f t="shared" si="250"/>
        <v>1.27658005004378</v>
      </c>
      <c r="BC216" s="30" t="str">
        <f t="shared" si="251"/>
        <v>-0,480597668191132+0,182621531195106i</v>
      </c>
      <c r="BD216" s="32">
        <f t="shared" si="252"/>
        <v>-5.77862182486663</v>
      </c>
      <c r="BE216" s="31">
        <f t="shared" si="253"/>
        <v>159.193790568614</v>
      </c>
      <c r="BF216" s="30" t="str">
        <f t="shared" si="254"/>
        <v>1,07767725154102+2,12134712793965i</v>
      </c>
      <c r="BG216" s="68">
        <f t="shared" si="255"/>
        <v>7.52931657070437</v>
      </c>
      <c r="BH216" s="31">
        <f t="shared" si="256"/>
        <v>63.0687239211782</v>
      </c>
      <c r="BI216" s="30" t="str">
        <f t="shared" si="209"/>
        <v>4,36552602945737+21,8735257215769i</v>
      </c>
      <c r="BJ216" s="68">
        <f t="shared" si="257"/>
        <v>26.9680089358823</v>
      </c>
      <c r="BK216" s="31">
        <f t="shared" si="210"/>
        <v>78.7131885109801</v>
      </c>
      <c r="BL216" s="32">
        <f t="shared" si="258"/>
        <v>7.52931657070437</v>
      </c>
      <c r="BM216" s="31">
        <f t="shared" si="259"/>
        <v>63.0687239211782</v>
      </c>
      <c r="BO216">
        <f t="shared" si="260"/>
        <v>0</v>
      </c>
      <c r="BP216">
        <f t="shared" si="261"/>
        <v>0</v>
      </c>
    </row>
    <row r="217" spans="14:68">
      <c r="N217" s="7">
        <v>99</v>
      </c>
      <c r="O217" s="18">
        <f t="shared" si="211"/>
        <v>977.237220955811</v>
      </c>
      <c r="P217" s="86" t="str">
        <f t="shared" si="212"/>
        <v>54,5454545454545</v>
      </c>
      <c r="Q217" s="4" t="str">
        <f t="shared" si="213"/>
        <v>1+12,5036037347985i</v>
      </c>
      <c r="R217" s="4">
        <f t="shared" si="224"/>
        <v>12.5435284651834</v>
      </c>
      <c r="S217" s="4">
        <f t="shared" si="225"/>
        <v>1.49098925175196</v>
      </c>
      <c r="T217" s="4" t="str">
        <f t="shared" si="214"/>
        <v>1+0,0962777487579487i</v>
      </c>
      <c r="U217" s="4">
        <f t="shared" si="226"/>
        <v>1.0046240117108</v>
      </c>
      <c r="V217" s="4">
        <f t="shared" si="227"/>
        <v>0.0959819132092949</v>
      </c>
      <c r="W217" t="str">
        <f t="shared" si="215"/>
        <v>1-0,276307314675235i</v>
      </c>
      <c r="X217" s="4">
        <f t="shared" si="228"/>
        <v>1.03747083435779</v>
      </c>
      <c r="Y217" s="4">
        <f t="shared" si="229"/>
        <v>-0.269581204261229</v>
      </c>
      <c r="Z217" t="str">
        <f t="shared" si="216"/>
        <v>0,999992204142155+0,0190783622037662i</v>
      </c>
      <c r="AA217" s="4">
        <f t="shared" si="230"/>
        <v>1.00017418095523</v>
      </c>
      <c r="AB217" s="4">
        <f t="shared" si="231"/>
        <v>0.019076196649472</v>
      </c>
      <c r="AC217" s="67" t="str">
        <f t="shared" si="232"/>
        <v>-0,510378748523458-4,5026735823413i</v>
      </c>
      <c r="AD217" s="68">
        <f t="shared" si="233"/>
        <v>13.1248531389291</v>
      </c>
      <c r="AE217" s="31">
        <f t="shared" si="234"/>
        <v>-96.4668836856715</v>
      </c>
      <c r="AF217" s="32" t="str">
        <f t="shared" si="235"/>
        <v>432,040091031901</v>
      </c>
      <c r="AG217" s="32" t="str">
        <f t="shared" si="217"/>
        <v>1+10,1881215616877i</v>
      </c>
      <c r="AH217" s="32">
        <f t="shared" si="236"/>
        <v>10.237080685221</v>
      </c>
      <c r="AI217" s="32">
        <f t="shared" si="237"/>
        <v>1.47295620394247</v>
      </c>
      <c r="AJ217" s="32" t="str">
        <f t="shared" si="218"/>
        <v>1+0,0962777487579487i</v>
      </c>
      <c r="AK217" s="32">
        <f t="shared" si="238"/>
        <v>1.0046240117108</v>
      </c>
      <c r="AL217" s="32">
        <f t="shared" si="239"/>
        <v>0.0959819132092949</v>
      </c>
      <c r="AM217" s="32" t="str">
        <f t="shared" si="219"/>
        <v>1-0,0284234295156124i</v>
      </c>
      <c r="AN217" s="32">
        <f t="shared" si="240"/>
        <v>1.0004038641196</v>
      </c>
      <c r="AO217" s="32">
        <f t="shared" si="241"/>
        <v>-0.0284157788762303</v>
      </c>
      <c r="AP217" s="30" t="str">
        <f t="shared" si="242"/>
        <v>6,98387786224581-41,8368103701732i</v>
      </c>
      <c r="AQ217" s="32">
        <f t="shared" si="243"/>
        <v>32.5505367460479</v>
      </c>
      <c r="AR217" s="31">
        <f t="shared" si="244"/>
        <v>-80.5229195582161</v>
      </c>
      <c r="AS217" t="str">
        <f t="shared" si="220"/>
        <v>-0,000201496259351621</v>
      </c>
      <c r="AT217" t="str">
        <f t="shared" si="221"/>
        <v>0,00137969452461168i</v>
      </c>
      <c r="AU217">
        <f t="shared" si="245"/>
        <v>0.00137969452461168</v>
      </c>
      <c r="AV217">
        <f t="shared" si="246"/>
        <v>1.5707963267949</v>
      </c>
      <c r="AW217" t="str">
        <f t="shared" si="222"/>
        <v>1+0,0706378290496448i</v>
      </c>
      <c r="AX217">
        <f t="shared" si="247"/>
        <v>1.00249174704476</v>
      </c>
      <c r="AY217">
        <f t="shared" si="248"/>
        <v>0.0705206922768056</v>
      </c>
      <c r="AZ217" t="str">
        <f t="shared" si="223"/>
        <v>1+3,3770894015862i</v>
      </c>
      <c r="BA217">
        <f t="shared" si="249"/>
        <v>3.52203532439779</v>
      </c>
      <c r="BB217">
        <f t="shared" si="250"/>
        <v>1.28290941144677</v>
      </c>
      <c r="BC217" s="30" t="str">
        <f t="shared" si="251"/>
        <v>-0,480490274493868+0,179984900183433i</v>
      </c>
      <c r="BD217" s="32">
        <f t="shared" si="252"/>
        <v>-5.79606102396368</v>
      </c>
      <c r="BE217" s="31">
        <f t="shared" si="253"/>
        <v>159.464756737711</v>
      </c>
      <c r="BF217" s="30" t="str">
        <f t="shared" si="254"/>
        <v>1,05564528025015+2,07163039742672i</v>
      </c>
      <c r="BG217" s="68">
        <f t="shared" si="255"/>
        <v>7.32879211496545</v>
      </c>
      <c r="BH217" s="31">
        <f t="shared" si="256"/>
        <v>62.9978730520392</v>
      </c>
      <c r="BI217" s="30" t="str">
        <f t="shared" si="209"/>
        <v>4,1743087474067+21,359173058642i</v>
      </c>
      <c r="BJ217" s="68">
        <f t="shared" si="257"/>
        <v>26.7544757220842</v>
      </c>
      <c r="BK217" s="31">
        <f t="shared" si="210"/>
        <v>78.9418371794945</v>
      </c>
      <c r="BL217" s="32">
        <f t="shared" si="258"/>
        <v>7.32879211496545</v>
      </c>
      <c r="BM217" s="31">
        <f t="shared" si="259"/>
        <v>62.9978730520392</v>
      </c>
      <c r="BO217">
        <f t="shared" si="260"/>
        <v>0</v>
      </c>
      <c r="BP217">
        <f t="shared" si="261"/>
        <v>0</v>
      </c>
    </row>
    <row r="218" spans="14:68">
      <c r="N218" s="7">
        <v>100</v>
      </c>
      <c r="O218" s="18">
        <f t="shared" si="211"/>
        <v>1000</v>
      </c>
      <c r="P218" s="86" t="str">
        <f t="shared" si="212"/>
        <v>54,5454545454545</v>
      </c>
      <c r="Q218" s="4" t="str">
        <f t="shared" si="213"/>
        <v>1+12,7948500800748i</v>
      </c>
      <c r="R218" s="4">
        <f t="shared" si="224"/>
        <v>12.8338688076351</v>
      </c>
      <c r="S218" s="4">
        <f t="shared" si="225"/>
        <v>1.4927984385337</v>
      </c>
      <c r="T218" s="4" t="str">
        <f t="shared" si="214"/>
        <v>1+0,098520345616576i</v>
      </c>
      <c r="U218" s="4">
        <f t="shared" si="226"/>
        <v>1.00484140962662</v>
      </c>
      <c r="V218" s="4">
        <f t="shared" si="227"/>
        <v>0.0982034345444615</v>
      </c>
      <c r="W218" t="str">
        <f t="shared" si="215"/>
        <v>1-0,282743338823082i</v>
      </c>
      <c r="X218" s="4">
        <f t="shared" si="228"/>
        <v>1.03920344285843</v>
      </c>
      <c r="Y218" s="4">
        <f t="shared" si="229"/>
        <v>-0.275550784181512</v>
      </c>
      <c r="Z218" t="str">
        <f t="shared" si="216"/>
        <v>0,999991836734694+0,019522754347308i</v>
      </c>
      <c r="AA218" s="4">
        <f t="shared" si="230"/>
        <v>1.00018238910377</v>
      </c>
      <c r="AB218" s="4">
        <f t="shared" si="231"/>
        <v>0.0195204339369164</v>
      </c>
      <c r="AC218" s="67" t="str">
        <f t="shared" si="232"/>
        <v>-0,526221390881168-4,40599816896996i</v>
      </c>
      <c r="AD218" s="68">
        <f t="shared" si="233"/>
        <v>12.9423973472572</v>
      </c>
      <c r="AE218" s="31">
        <f t="shared" si="234"/>
        <v>-96.8107433125839</v>
      </c>
      <c r="AF218" s="32" t="str">
        <f t="shared" si="235"/>
        <v>432,040091031901</v>
      </c>
      <c r="AG218" s="32" t="str">
        <f t="shared" si="217"/>
        <v>1+10,4254333985795i</v>
      </c>
      <c r="AH218" s="32">
        <f t="shared" si="236"/>
        <v>10.4732832267736</v>
      </c>
      <c r="AI218" s="32">
        <f t="shared" si="237"/>
        <v>1.47516960840436</v>
      </c>
      <c r="AJ218" s="32" t="str">
        <f t="shared" si="218"/>
        <v>1+0,098520345616576i</v>
      </c>
      <c r="AK218" s="32">
        <f t="shared" si="238"/>
        <v>1.00484140962662</v>
      </c>
      <c r="AL218" s="32">
        <f t="shared" si="239"/>
        <v>0.0982034345444615</v>
      </c>
      <c r="AM218" s="32" t="str">
        <f t="shared" si="219"/>
        <v>1-0,0290854962399121i</v>
      </c>
      <c r="AN218" s="32">
        <f t="shared" si="240"/>
        <v>1.00042289362625</v>
      </c>
      <c r="AO218" s="32">
        <f t="shared" si="241"/>
        <v>-0.0290772986192641</v>
      </c>
      <c r="AP218" s="30" t="str">
        <f t="shared" si="242"/>
        <v>6,80125096848065-40,9073503534391i</v>
      </c>
      <c r="AQ218" s="32">
        <f t="shared" si="243"/>
        <v>32.3544469263408</v>
      </c>
      <c r="AR218" s="31">
        <f t="shared" si="244"/>
        <v>-80.5603567849747</v>
      </c>
      <c r="AS218" t="str">
        <f t="shared" si="220"/>
        <v>-0,000201496259351621</v>
      </c>
      <c r="AT218" t="str">
        <f t="shared" si="221"/>
        <v>0,00141183173852325i</v>
      </c>
      <c r="AU218">
        <f t="shared" si="245"/>
        <v>0.00141183173852325</v>
      </c>
      <c r="AV218">
        <f t="shared" si="246"/>
        <v>1.5707963267949</v>
      </c>
      <c r="AW218" t="str">
        <f t="shared" si="222"/>
        <v>1+0,0722831954564274i</v>
      </c>
      <c r="AX218">
        <f t="shared" si="247"/>
        <v>1.00260902666263</v>
      </c>
      <c r="AY218">
        <f t="shared" si="248"/>
        <v>0.0721576987765131</v>
      </c>
      <c r="AZ218" t="str">
        <f t="shared" si="223"/>
        <v>1+3,45575191894877i</v>
      </c>
      <c r="BA218">
        <f t="shared" si="249"/>
        <v>3.59752989220633</v>
      </c>
      <c r="BB218">
        <f t="shared" si="250"/>
        <v>1.28911770882925</v>
      </c>
      <c r="BC218" s="30" t="str">
        <f t="shared" si="251"/>
        <v>-0,480377870917937+0,177442988036446i</v>
      </c>
      <c r="BD218" s="32">
        <f t="shared" si="252"/>
        <v>-5.81286303459</v>
      </c>
      <c r="BE218" s="31">
        <f t="shared" si="253"/>
        <v>159.72667241222</v>
      </c>
      <c r="BF218" s="30" t="str">
        <f t="shared" si="254"/>
        <v>1,03459859176811+2,02316972371147i</v>
      </c>
      <c r="BG218" s="68">
        <f t="shared" si="255"/>
        <v>7.12953431266723</v>
      </c>
      <c r="BH218" s="31">
        <f t="shared" si="256"/>
        <v>62.9159290996361</v>
      </c>
      <c r="BI218" s="30" t="str">
        <f t="shared" si="209"/>
        <v>3,99155201955071+20,8578201619122i</v>
      </c>
      <c r="BJ218" s="68">
        <f t="shared" si="257"/>
        <v>26.5415838917508</v>
      </c>
      <c r="BK218" s="31">
        <f t="shared" si="210"/>
        <v>79.1663156272453</v>
      </c>
      <c r="BL218" s="32">
        <f t="shared" si="258"/>
        <v>7.12953431266723</v>
      </c>
      <c r="BM218" s="31">
        <f t="shared" si="259"/>
        <v>62.9159290996361</v>
      </c>
      <c r="BO218">
        <f t="shared" si="260"/>
        <v>0</v>
      </c>
      <c r="BP218">
        <f t="shared" si="261"/>
        <v>0</v>
      </c>
    </row>
    <row r="219" spans="14:68">
      <c r="N219" s="7">
        <v>1</v>
      </c>
      <c r="O219" s="18">
        <f>10^(3+(N219/100))</f>
        <v>1023.29299228075</v>
      </c>
      <c r="P219" s="86" t="str">
        <f t="shared" si="212"/>
        <v>54,5454545454545</v>
      </c>
      <c r="Q219" s="4" t="str">
        <f t="shared" si="213"/>
        <v>1+13,0928804242233i</v>
      </c>
      <c r="R219" s="4">
        <f t="shared" si="224"/>
        <v>13.1310135862777</v>
      </c>
      <c r="S219" s="4">
        <f t="shared" si="225"/>
        <v>1.49456693772082</v>
      </c>
      <c r="T219" s="4" t="str">
        <f t="shared" si="214"/>
        <v>1+0,10081517926652i</v>
      </c>
      <c r="U219" s="4">
        <f t="shared" si="226"/>
        <v>1.00506900279062</v>
      </c>
      <c r="V219" s="4">
        <f t="shared" si="227"/>
        <v>0.100475695363516</v>
      </c>
      <c r="W219" t="str">
        <f t="shared" si="215"/>
        <v>1-0,289329277231721i</v>
      </c>
      <c r="X219" s="4">
        <f t="shared" si="228"/>
        <v>1.04101461597013</v>
      </c>
      <c r="Y219" s="4">
        <f t="shared" si="229"/>
        <v>-0.281638620168408</v>
      </c>
      <c r="Z219" t="str">
        <f t="shared" si="216"/>
        <v>0,999991452011853+0,0199774977136188i</v>
      </c>
      <c r="AA219" s="4">
        <f t="shared" si="230"/>
        <v>1.00019098401839</v>
      </c>
      <c r="AB219" s="4">
        <f t="shared" si="231"/>
        <v>0.0199750113747159</v>
      </c>
      <c r="AC219" s="67" t="str">
        <f t="shared" si="232"/>
        <v>-0,541367691050106-4,31154850130837i</v>
      </c>
      <c r="AD219" s="68">
        <f t="shared" si="233"/>
        <v>12.7606017085306</v>
      </c>
      <c r="AE219" s="31">
        <f t="shared" si="234"/>
        <v>-97.1567325742576</v>
      </c>
      <c r="AF219" s="32" t="str">
        <f t="shared" si="235"/>
        <v>432,040091031901</v>
      </c>
      <c r="AG219" s="32" t="str">
        <f t="shared" si="217"/>
        <v>1+10,668272938256i</v>
      </c>
      <c r="AH219" s="32">
        <f t="shared" si="236"/>
        <v>10.7150383800118</v>
      </c>
      <c r="AI219" s="32">
        <f t="shared" si="237"/>
        <v>1.47733353816934</v>
      </c>
      <c r="AJ219" s="32" t="str">
        <f t="shared" si="218"/>
        <v>1+0,10081517926652i</v>
      </c>
      <c r="AK219" s="32">
        <f t="shared" si="238"/>
        <v>1.00506900279062</v>
      </c>
      <c r="AL219" s="32">
        <f t="shared" si="239"/>
        <v>0.100475695363516</v>
      </c>
      <c r="AM219" s="32" t="str">
        <f t="shared" si="219"/>
        <v>1-0,0297629844793102i</v>
      </c>
      <c r="AN219" s="32">
        <f t="shared" si="240"/>
        <v>1.00044281957797</v>
      </c>
      <c r="AO219" s="32">
        <f t="shared" si="241"/>
        <v>-0.0297542007804999</v>
      </c>
      <c r="AP219" s="30" t="str">
        <f t="shared" si="242"/>
        <v>6,62669708196783-39,9980164456949i</v>
      </c>
      <c r="AQ219" s="32">
        <f t="shared" si="243"/>
        <v>32.158369372863</v>
      </c>
      <c r="AR219" s="31">
        <f t="shared" si="244"/>
        <v>-80.5929335097683</v>
      </c>
      <c r="AS219" t="str">
        <f t="shared" si="220"/>
        <v>-0,000201496259351621</v>
      </c>
      <c r="AT219" t="str">
        <f t="shared" si="221"/>
        <v>0,00144471752431039i</v>
      </c>
      <c r="AU219">
        <f t="shared" si="245"/>
        <v>0.00144471752431039</v>
      </c>
      <c r="AV219">
        <f t="shared" si="246"/>
        <v>1.5707963267949</v>
      </c>
      <c r="AW219" t="str">
        <f t="shared" si="222"/>
        <v>1+0,0739668873702219i</v>
      </c>
      <c r="AX219">
        <f t="shared" si="247"/>
        <v>1.00273181879665</v>
      </c>
      <c r="AY219">
        <f t="shared" si="248"/>
        <v>0.0738324350333333</v>
      </c>
      <c r="AZ219" t="str">
        <f t="shared" si="223"/>
        <v>1+3,53624672172103i</v>
      </c>
      <c r="BA219">
        <f t="shared" si="249"/>
        <v>3.67492052660772</v>
      </c>
      <c r="BB219">
        <f t="shared" si="250"/>
        <v>1.29520631889299</v>
      </c>
      <c r="BC219" s="30" t="str">
        <f t="shared" si="251"/>
        <v>-0,480260226277328+0,174994396647151i</v>
      </c>
      <c r="BD219" s="32">
        <f t="shared" si="252"/>
        <v>-5.82905594684201</v>
      </c>
      <c r="BE219" s="31">
        <f t="shared" si="253"/>
        <v>159.97956875266</v>
      </c>
      <c r="BF219" s="30" t="str">
        <f t="shared" si="254"/>
        <v>1,01449419840434+1,97592894638446i</v>
      </c>
      <c r="BG219" s="68">
        <f t="shared" si="255"/>
        <v>6.93154576168857</v>
      </c>
      <c r="BH219" s="31">
        <f t="shared" si="256"/>
        <v>62.8228361784022</v>
      </c>
      <c r="BI219" s="30" t="str">
        <f t="shared" si="209"/>
        <v>3,81688971494002+20,3690912864761i</v>
      </c>
      <c r="BJ219" s="68">
        <f t="shared" si="257"/>
        <v>26.329313426021</v>
      </c>
      <c r="BK219" s="31">
        <f t="shared" si="210"/>
        <v>79.3866352428914</v>
      </c>
      <c r="BL219" s="32">
        <f t="shared" si="258"/>
        <v>6.93154576168857</v>
      </c>
      <c r="BM219" s="31">
        <f t="shared" si="259"/>
        <v>62.8228361784022</v>
      </c>
      <c r="BO219">
        <f t="shared" si="260"/>
        <v>0</v>
      </c>
      <c r="BP219">
        <f t="shared" si="261"/>
        <v>0</v>
      </c>
    </row>
    <row r="220" spans="14:68">
      <c r="N220" s="7">
        <v>2</v>
      </c>
      <c r="O220" s="18">
        <f t="shared" ref="O220:O283" si="262">10^(3+(N220/100))</f>
        <v>1047.1285480509</v>
      </c>
      <c r="P220" s="86" t="str">
        <f t="shared" si="212"/>
        <v>54,5454545454545</v>
      </c>
      <c r="Q220" s="4" t="str">
        <f t="shared" si="213"/>
        <v>1+13,3978527868777i</v>
      </c>
      <c r="R220" s="4">
        <f t="shared" si="224"/>
        <v>13.4351203678585</v>
      </c>
      <c r="S220" s="4">
        <f t="shared" si="225"/>
        <v>1.49629564272113</v>
      </c>
      <c r="T220" s="4" t="str">
        <f t="shared" si="214"/>
        <v>1+0,103163466458958i</v>
      </c>
      <c r="U220" s="4">
        <f t="shared" si="226"/>
        <v>1.00530726686513</v>
      </c>
      <c r="V220" s="4">
        <f t="shared" si="227"/>
        <v>0.102799806541191</v>
      </c>
      <c r="W220" t="str">
        <f t="shared" si="215"/>
        <v>1-0,296068621852877i</v>
      </c>
      <c r="X220" s="4">
        <f t="shared" si="228"/>
        <v>1.04290777581043</v>
      </c>
      <c r="Y220" s="4">
        <f t="shared" si="229"/>
        <v>-0.287846134364193</v>
      </c>
      <c r="Z220" t="str">
        <f t="shared" si="216"/>
        <v>0,999991049157583+0,020442833413651i</v>
      </c>
      <c r="AA220" s="4">
        <f t="shared" si="230"/>
        <v>1.00019998391985</v>
      </c>
      <c r="AB220" s="4">
        <f t="shared" si="231"/>
        <v>0.0204401692822712</v>
      </c>
      <c r="AC220" s="67" t="str">
        <f t="shared" si="232"/>
        <v>-0,555848644846695-4,21928176101847i</v>
      </c>
      <c r="AD220" s="68">
        <f t="shared" si="233"/>
        <v>12.5794977533789</v>
      </c>
      <c r="AE220" s="31">
        <f t="shared" si="234"/>
        <v>-97.5049342627952</v>
      </c>
      <c r="AF220" s="32" t="str">
        <f t="shared" si="235"/>
        <v>432,040091031901</v>
      </c>
      <c r="AG220" s="32" t="str">
        <f t="shared" si="217"/>
        <v>1+10,9167689374559i</v>
      </c>
      <c r="AH220" s="32">
        <f t="shared" si="236"/>
        <v>10.96247435727</v>
      </c>
      <c r="AI220" s="32">
        <f t="shared" si="237"/>
        <v>1.47944905947456</v>
      </c>
      <c r="AJ220" s="32" t="str">
        <f t="shared" si="218"/>
        <v>1+0,103163466458958i</v>
      </c>
      <c r="AK220" s="32">
        <f t="shared" si="238"/>
        <v>1.00530726686513</v>
      </c>
      <c r="AL220" s="32">
        <f t="shared" si="239"/>
        <v>0.102799806541191</v>
      </c>
      <c r="AM220" s="32" t="str">
        <f t="shared" si="219"/>
        <v>1-0,0304562534470391i</v>
      </c>
      <c r="AN220" s="32">
        <f t="shared" si="240"/>
        <v>1.0004636841855</v>
      </c>
      <c r="AO220" s="32">
        <f t="shared" si="241"/>
        <v>-0.0304468417797702</v>
      </c>
      <c r="AP220" s="30" t="str">
        <f t="shared" si="242"/>
        <v>6,45986558817245-39,108429064756i</v>
      </c>
      <c r="AQ220" s="32">
        <f t="shared" si="243"/>
        <v>31.962312181723</v>
      </c>
      <c r="AR220" s="31">
        <f t="shared" si="244"/>
        <v>-80.6206675964031</v>
      </c>
      <c r="AS220" t="str">
        <f t="shared" si="220"/>
        <v>-0,000201496259351621</v>
      </c>
      <c r="AT220" t="str">
        <f t="shared" si="221"/>
        <v>0,00147836931845203i</v>
      </c>
      <c r="AU220">
        <f t="shared" si="245"/>
        <v>0.00147836931845203</v>
      </c>
      <c r="AV220">
        <f t="shared" si="246"/>
        <v>1.5707963267949</v>
      </c>
      <c r="AW220" t="str">
        <f t="shared" si="222"/>
        <v>1+0,0756897975067683i</v>
      </c>
      <c r="AX220">
        <f t="shared" si="247"/>
        <v>1.0028603818312</v>
      </c>
      <c r="AY220">
        <f t="shared" si="248"/>
        <v>0.0755457514159188</v>
      </c>
      <c r="AZ220" t="str">
        <f t="shared" si="223"/>
        <v>1+3,61861648931294i</v>
      </c>
      <c r="BA220">
        <f t="shared" si="249"/>
        <v>3.75424896573569</v>
      </c>
      <c r="BB220">
        <f t="shared" si="250"/>
        <v>1.30117666350189</v>
      </c>
      <c r="BC220" s="30" t="str">
        <f t="shared" si="251"/>
        <v>-0,480137098959663+0,172637773852092i</v>
      </c>
      <c r="BD220" s="32">
        <f t="shared" si="252"/>
        <v>-5.84466715208086</v>
      </c>
      <c r="BE220" s="31">
        <f t="shared" si="253"/>
        <v>160.223478503296</v>
      </c>
      <c r="BF220" s="30" t="str">
        <f t="shared" si="254"/>
        <v>0,995290966274315+1,92987323178379i</v>
      </c>
      <c r="BG220" s="68">
        <f t="shared" si="255"/>
        <v>6.73483060129804</v>
      </c>
      <c r="BH220" s="31">
        <f t="shared" si="256"/>
        <v>62.7185442405007</v>
      </c>
      <c r="BI220" s="30" t="str">
        <f t="shared" si="209"/>
        <v>3,64997100941745+19,8926244905475i</v>
      </c>
      <c r="BJ220" s="68">
        <f t="shared" si="257"/>
        <v>26.1176450296421</v>
      </c>
      <c r="BK220" s="31">
        <f t="shared" si="210"/>
        <v>79.6028109068928</v>
      </c>
      <c r="BL220" s="32">
        <f t="shared" si="258"/>
        <v>6.73483060129804</v>
      </c>
      <c r="BM220" s="31">
        <f t="shared" si="259"/>
        <v>62.7185442405007</v>
      </c>
      <c r="BO220">
        <f t="shared" si="260"/>
        <v>0</v>
      </c>
      <c r="BP220">
        <f t="shared" si="261"/>
        <v>0</v>
      </c>
    </row>
    <row r="221" spans="14:68">
      <c r="N221" s="7">
        <v>3</v>
      </c>
      <c r="O221" s="18">
        <f t="shared" si="262"/>
        <v>1071.51930523761</v>
      </c>
      <c r="P221" s="86" t="str">
        <f t="shared" si="212"/>
        <v>54,5454545454545</v>
      </c>
      <c r="Q221" s="4" t="str">
        <f t="shared" si="213"/>
        <v>1+13,7099288684211i</v>
      </c>
      <c r="R221" s="4">
        <f t="shared" si="224"/>
        <v>13.7463504093693</v>
      </c>
      <c r="S221" s="4">
        <f t="shared" si="225"/>
        <v>1.49798542876502</v>
      </c>
      <c r="T221" s="4" t="str">
        <f t="shared" si="214"/>
        <v>1+0,105566452286843i</v>
      </c>
      <c r="U221" s="4">
        <f t="shared" si="226"/>
        <v>1.00555669946972</v>
      </c>
      <c r="V221" s="4">
        <f t="shared" si="227"/>
        <v>0.105176899867654</v>
      </c>
      <c r="W221" t="str">
        <f t="shared" si="215"/>
        <v>1-0,302964945976271i</v>
      </c>
      <c r="X221" s="4">
        <f t="shared" si="228"/>
        <v>1.04488648115018</v>
      </c>
      <c r="Y221" s="4">
        <f t="shared" si="229"/>
        <v>-0.294174703779956</v>
      </c>
      <c r="Z221" t="str">
        <f t="shared" si="216"/>
        <v>0,999990627317376+0,020919008174552i</v>
      </c>
      <c r="AA221" s="4">
        <f t="shared" si="230"/>
        <v>1.00020940788697</v>
      </c>
      <c r="AB221" s="4">
        <f t="shared" si="231"/>
        <v>0.0209161535386085</v>
      </c>
      <c r="AC221" s="67" t="str">
        <f t="shared" si="232"/>
        <v>-0,569693935173099-4,12915581009979i</v>
      </c>
      <c r="AD221" s="68">
        <f t="shared" si="233"/>
        <v>12.3991178757808</v>
      </c>
      <c r="AE221" s="31">
        <f t="shared" si="234"/>
        <v>-97.8554266631565</v>
      </c>
      <c r="AF221" s="32" t="str">
        <f t="shared" si="235"/>
        <v>432,040091031901</v>
      </c>
      <c r="AG221" s="32" t="str">
        <f t="shared" si="217"/>
        <v>1+11,1710531520468i</v>
      </c>
      <c r="AH221" s="32">
        <f t="shared" si="236"/>
        <v>11.2157223809193</v>
      </c>
      <c r="AI221" s="32">
        <f t="shared" si="237"/>
        <v>1.48151721821264</v>
      </c>
      <c r="AJ221" s="32" t="str">
        <f t="shared" si="218"/>
        <v>1+0,105566452286843i</v>
      </c>
      <c r="AK221" s="32">
        <f t="shared" si="238"/>
        <v>1.00555669946972</v>
      </c>
      <c r="AL221" s="32">
        <f t="shared" si="239"/>
        <v>0.105176899867654</v>
      </c>
      <c r="AM221" s="32" t="str">
        <f t="shared" si="219"/>
        <v>1-0,0311656707234818i</v>
      </c>
      <c r="AN221" s="32">
        <f t="shared" si="240"/>
        <v>1.00048553164533</v>
      </c>
      <c r="AO221" s="32">
        <f t="shared" si="241"/>
        <v>-0.031155586204615</v>
      </c>
      <c r="AP221" s="30" t="str">
        <f t="shared" si="242"/>
        <v>6,30042055368686-38,2382124460049i</v>
      </c>
      <c r="AQ221" s="32">
        <f t="shared" si="243"/>
        <v>31.7662834892354</v>
      </c>
      <c r="AR221" s="31">
        <f t="shared" si="244"/>
        <v>-80.64357501264</v>
      </c>
      <c r="AS221" t="str">
        <f t="shared" si="220"/>
        <v>-0,000201496259351621</v>
      </c>
      <c r="AT221" t="str">
        <f t="shared" si="221"/>
        <v>0,00151280496357484i</v>
      </c>
      <c r="AU221">
        <f t="shared" si="245"/>
        <v>0.00151280496357484</v>
      </c>
      <c r="AV221">
        <f t="shared" si="246"/>
        <v>1.5707963267949</v>
      </c>
      <c r="AW221" t="str">
        <f t="shared" si="222"/>
        <v>1+0,0774528393758255i</v>
      </c>
      <c r="AX221">
        <f t="shared" si="247"/>
        <v>1.00299498619254</v>
      </c>
      <c r="AY221">
        <f t="shared" si="248"/>
        <v>0.0772985160898911</v>
      </c>
      <c r="AZ221" t="str">
        <f t="shared" si="223"/>
        <v>1+3,70290489526552i</v>
      </c>
      <c r="BA221">
        <f t="shared" si="249"/>
        <v>3.83555793377982</v>
      </c>
      <c r="BB221">
        <f t="shared" si="250"/>
        <v>1.30703020503309</v>
      </c>
      <c r="BC221" s="30" t="str">
        <f t="shared" si="251"/>
        <v>-0,480008236479194+0,170371812469298i</v>
      </c>
      <c r="BD221" s="32">
        <f t="shared" si="252"/>
        <v>-5.85972335590169</v>
      </c>
      <c r="BE221" s="31">
        <f t="shared" si="253"/>
        <v>160.45843570994</v>
      </c>
      <c r="BF221" s="30" t="str">
        <f t="shared" si="254"/>
        <v>0,976949540490165+1,88496901026561i</v>
      </c>
      <c r="BG221" s="68">
        <f t="shared" si="255"/>
        <v>6.53939451987916</v>
      </c>
      <c r="BH221" s="31">
        <f t="shared" si="256"/>
        <v>62.6030090467832</v>
      </c>
      <c r="BI221" s="30" t="str">
        <f t="shared" si="209"/>
        <v>3,49045980095943+19,428070991374i</v>
      </c>
      <c r="BJ221" s="68">
        <f t="shared" si="257"/>
        <v>25.9065601333337</v>
      </c>
      <c r="BK221" s="31">
        <f t="shared" si="210"/>
        <v>79.8148606972997</v>
      </c>
      <c r="BL221" s="32">
        <f t="shared" si="258"/>
        <v>6.53939451987916</v>
      </c>
      <c r="BM221" s="31">
        <f t="shared" si="259"/>
        <v>62.6030090467832</v>
      </c>
      <c r="BO221">
        <f t="shared" si="260"/>
        <v>0</v>
      </c>
      <c r="BP221">
        <f t="shared" si="261"/>
        <v>0</v>
      </c>
    </row>
    <row r="222" spans="14:68">
      <c r="N222" s="7">
        <v>4</v>
      </c>
      <c r="O222" s="18">
        <f t="shared" si="262"/>
        <v>1096.47819614319</v>
      </c>
      <c r="P222" s="86" t="str">
        <f t="shared" si="212"/>
        <v>54,5454545454545</v>
      </c>
      <c r="Q222" s="4" t="str">
        <f t="shared" si="213"/>
        <v>1+14,029274135723i</v>
      </c>
      <c r="R222" s="4">
        <f t="shared" si="224"/>
        <v>14.0648687436203</v>
      </c>
      <c r="S222" s="4">
        <f t="shared" si="225"/>
        <v>1.49963715317797</v>
      </c>
      <c r="T222" s="4" t="str">
        <f t="shared" si="214"/>
        <v>1+0,108025410845067i</v>
      </c>
      <c r="U222" s="4">
        <f t="shared" si="226"/>
        <v>1.00581782117253</v>
      </c>
      <c r="V222" s="4">
        <f t="shared" si="227"/>
        <v>0.107608128195048</v>
      </c>
      <c r="W222" t="str">
        <f t="shared" si="215"/>
        <v>1-0,310021906124235i</v>
      </c>
      <c r="X222" s="4">
        <f t="shared" si="228"/>
        <v>1.04695443180537</v>
      </c>
      <c r="Y222" s="4">
        <f t="shared" si="229"/>
        <v>-0.300625655434708</v>
      </c>
      <c r="Z222" t="str">
        <f t="shared" si="216"/>
        <v>0,999990185596452+0,0214062744704829i</v>
      </c>
      <c r="AA222" s="4">
        <f t="shared" si="230"/>
        <v>1.00021927589701</v>
      </c>
      <c r="AB222" s="4">
        <f t="shared" si="231"/>
        <v>0.0214032157091573</v>
      </c>
      <c r="AC222" s="67" t="str">
        <f t="shared" si="232"/>
        <v>-0,582931986456-4,04112919929796i</v>
      </c>
      <c r="AD222" s="68">
        <f t="shared" si="233"/>
        <v>12.2194953522732</v>
      </c>
      <c r="AE222" s="31">
        <f t="shared" si="234"/>
        <v>-98.2082832891381</v>
      </c>
      <c r="AF222" s="32" t="str">
        <f t="shared" si="235"/>
        <v>432,040091031901</v>
      </c>
      <c r="AG222" s="32" t="str">
        <f t="shared" si="217"/>
        <v>1+11,4312604068854i</v>
      </c>
      <c r="AH222" s="32">
        <f t="shared" si="236"/>
        <v>11.4749167530761</v>
      </c>
      <c r="AI222" s="32">
        <f t="shared" si="237"/>
        <v>1.48353904014081</v>
      </c>
      <c r="AJ222" s="32" t="str">
        <f t="shared" si="218"/>
        <v>1+0,108025410845067i</v>
      </c>
      <c r="AK222" s="32">
        <f t="shared" si="238"/>
        <v>1.00581782117253</v>
      </c>
      <c r="AL222" s="32">
        <f t="shared" si="239"/>
        <v>0.107608128195048</v>
      </c>
      <c r="AM222" s="32" t="str">
        <f t="shared" si="219"/>
        <v>1-0,0318916124510684i</v>
      </c>
      <c r="AN222" s="32">
        <f t="shared" si="240"/>
        <v>1.0005084082329</v>
      </c>
      <c r="AO222" s="32">
        <f t="shared" si="241"/>
        <v>-0.0318808069909563</v>
      </c>
      <c r="AP222" s="30" t="str">
        <f t="shared" si="242"/>
        <v>6,14804015950548-37,3869948665488i</v>
      </c>
      <c r="AQ222" s="32">
        <f t="shared" si="243"/>
        <v>31.5702914873121</v>
      </c>
      <c r="AR222" s="31">
        <f t="shared" si="244"/>
        <v>-80.6616698441317</v>
      </c>
      <c r="AS222" t="str">
        <f t="shared" si="220"/>
        <v>-0,000201496259351621</v>
      </c>
      <c r="AT222" t="str">
        <f t="shared" si="221"/>
        <v>0,00154804271791368i</v>
      </c>
      <c r="AU222">
        <f t="shared" si="245"/>
        <v>0.00154804271791368</v>
      </c>
      <c r="AV222">
        <f t="shared" si="246"/>
        <v>1.5707963267949</v>
      </c>
      <c r="AW222" t="str">
        <f t="shared" si="222"/>
        <v>1+0,0792569477655292i</v>
      </c>
      <c r="AX222">
        <f t="shared" si="247"/>
        <v>1.00313591490341</v>
      </c>
      <c r="AY222">
        <f t="shared" si="248"/>
        <v>0.07909161529167</v>
      </c>
      <c r="AZ222" t="str">
        <f t="shared" si="223"/>
        <v>1+3,78915663040731i</v>
      </c>
      <c r="BA222">
        <f t="shared" si="249"/>
        <v>3.91889116584777</v>
      </c>
      <c r="BB222">
        <f t="shared" si="250"/>
        <v>1.31276844194151</v>
      </c>
      <c r="BC222" s="30" t="str">
        <f t="shared" si="251"/>
        <v>-0,47987337501292+0,168195249343477i</v>
      </c>
      <c r="BD222" s="32">
        <f t="shared" si="252"/>
        <v>-5.87425059269288</v>
      </c>
      <c r="BE222" s="31">
        <f t="shared" si="253"/>
        <v>160.684475450128</v>
      </c>
      <c r="BF222" s="30" t="str">
        <f t="shared" si="254"/>
        <v>0,959432273048752+1,84118391691812i</v>
      </c>
      <c r="BG222" s="68">
        <f t="shared" si="255"/>
        <v>6.34524475958033</v>
      </c>
      <c r="BH222" s="31">
        <f t="shared" si="256"/>
        <v>62.47619216099</v>
      </c>
      <c r="BI222" s="30" t="str">
        <f t="shared" si="209"/>
        <v>3,3380341427256+18,9750945558032i</v>
      </c>
      <c r="BJ222" s="68">
        <f t="shared" si="257"/>
        <v>25.6960408946192</v>
      </c>
      <c r="BK222" s="31">
        <f t="shared" si="210"/>
        <v>80.0228056059964</v>
      </c>
      <c r="BL222" s="32">
        <f t="shared" si="258"/>
        <v>6.34524475958033</v>
      </c>
      <c r="BM222" s="31">
        <f t="shared" si="259"/>
        <v>62.47619216099</v>
      </c>
      <c r="BO222">
        <f t="shared" si="260"/>
        <v>0</v>
      </c>
      <c r="BP222">
        <f t="shared" si="261"/>
        <v>0</v>
      </c>
    </row>
    <row r="223" spans="14:68">
      <c r="N223" s="7">
        <v>5</v>
      </c>
      <c r="O223" s="18">
        <f t="shared" si="262"/>
        <v>1122.01845430196</v>
      </c>
      <c r="P223" s="86" t="str">
        <f t="shared" si="212"/>
        <v>54,5454545454545</v>
      </c>
      <c r="Q223" s="4" t="str">
        <f t="shared" si="213"/>
        <v>1+14,3560579098708i</v>
      </c>
      <c r="R223" s="4">
        <f t="shared" si="224"/>
        <v>14.3908442668095</v>
      </c>
      <c r="S223" s="4">
        <f t="shared" si="225"/>
        <v>1.50125165565612</v>
      </c>
      <c r="T223" s="4" t="str">
        <f t="shared" si="214"/>
        <v>1+0,110541645906005i</v>
      </c>
      <c r="U223" s="4">
        <f t="shared" si="226"/>
        <v>1.00609117652408</v>
      </c>
      <c r="V223" s="4">
        <f t="shared" si="227"/>
        <v>0.110094665564745</v>
      </c>
      <c r="W223" t="str">
        <f t="shared" si="215"/>
        <v>1-0,317243243990449i</v>
      </c>
      <c r="X223" s="4">
        <f t="shared" si="228"/>
        <v>1.04911547308082</v>
      </c>
      <c r="Y223" s="4">
        <f t="shared" si="229"/>
        <v>-0.307200261282433</v>
      </c>
      <c r="Z223" t="str">
        <f t="shared" si="216"/>
        <v>0,999989723057863+0,0219048906564834i</v>
      </c>
      <c r="AA223" s="4">
        <f t="shared" si="230"/>
        <v>1.00022960886789</v>
      </c>
      <c r="AB223" s="4">
        <f t="shared" si="231"/>
        <v>0.0219016131752856</v>
      </c>
      <c r="AC223" s="67" t="str">
        <f t="shared" si="232"/>
        <v>-0,595590017147137-3,95516117492324i</v>
      </c>
      <c r="AD223" s="68">
        <f t="shared" si="233"/>
        <v>12.0406643595231</v>
      </c>
      <c r="AE223" s="31">
        <f t="shared" si="234"/>
        <v>-98.56357260863</v>
      </c>
      <c r="AF223" s="32" t="str">
        <f t="shared" si="235"/>
        <v>432,040091031901</v>
      </c>
      <c r="AG223" s="32" t="str">
        <f t="shared" si="217"/>
        <v>1+11,6975286673021i</v>
      </c>
      <c r="AH223" s="32">
        <f t="shared" si="236"/>
        <v>11.7401949269318</v>
      </c>
      <c r="AI223" s="32">
        <f t="shared" si="237"/>
        <v>1.48551553110135</v>
      </c>
      <c r="AJ223" s="32" t="str">
        <f t="shared" si="218"/>
        <v>1+0,110541645906005i</v>
      </c>
      <c r="AK223" s="32">
        <f t="shared" si="238"/>
        <v>1.00609117652408</v>
      </c>
      <c r="AL223" s="32">
        <f t="shared" si="239"/>
        <v>0.110094665564745</v>
      </c>
      <c r="AM223" s="32" t="str">
        <f t="shared" si="219"/>
        <v>1-0,0326344635337117i</v>
      </c>
      <c r="AN223" s="32">
        <f t="shared" si="240"/>
        <v>1.0005323624002</v>
      </c>
      <c r="AO223" s="32">
        <f t="shared" si="241"/>
        <v>-0.0326228856072981</v>
      </c>
      <c r="AP223" s="30" t="str">
        <f t="shared" si="242"/>
        <v>6,00241615187387-36,5544088454572i</v>
      </c>
      <c r="AQ223" s="32">
        <f t="shared" si="243"/>
        <v>31.3743444389359</v>
      </c>
      <c r="AR223" s="31">
        <f t="shared" si="244"/>
        <v>-80.6749643103146</v>
      </c>
      <c r="AS223" t="str">
        <f t="shared" si="220"/>
        <v>-0,000201496259351621</v>
      </c>
      <c r="AT223" t="str">
        <f t="shared" si="221"/>
        <v>0,00158410126499231i</v>
      </c>
      <c r="AU223">
        <f t="shared" si="245"/>
        <v>0.00158410126499231</v>
      </c>
      <c r="AV223">
        <f t="shared" si="246"/>
        <v>1.5707963267949</v>
      </c>
      <c r="AW223" t="str">
        <f t="shared" si="222"/>
        <v>1+0,0811030792380271i</v>
      </c>
      <c r="AX223">
        <f t="shared" si="247"/>
        <v>1.00328346416249</v>
      </c>
      <c r="AY223">
        <f t="shared" si="248"/>
        <v>0.0809259535989826</v>
      </c>
      <c r="AZ223" t="str">
        <f t="shared" si="223"/>
        <v>1+3,87741742654993i</v>
      </c>
      <c r="BA223">
        <f t="shared" si="249"/>
        <v>4.00429343326798</v>
      </c>
      <c r="BB223">
        <f t="shared" si="250"/>
        <v>1.31839290453689</v>
      </c>
      <c r="BC223" s="30" t="str">
        <f t="shared" si="251"/>
        <v>-0,479732238919384+0,166106864396893i</v>
      </c>
      <c r="BD223" s="32">
        <f t="shared" si="252"/>
        <v>-5.88827424163842</v>
      </c>
      <c r="BE223" s="31">
        <f t="shared" si="253"/>
        <v>160.901633575664</v>
      </c>
      <c r="BF223" s="30" t="str">
        <f t="shared" si="254"/>
        <v>0,942703153354861+1,79848673551854i</v>
      </c>
      <c r="BG223" s="68">
        <f t="shared" si="255"/>
        <v>6.15239011788465</v>
      </c>
      <c r="BH223" s="31">
        <f t="shared" si="256"/>
        <v>62.3380609670344</v>
      </c>
      <c r="BI223" s="30" t="str">
        <f t="shared" si="209"/>
        <v>3,19238569373662+18,5333709235988i</v>
      </c>
      <c r="BJ223" s="68">
        <f t="shared" si="257"/>
        <v>25.4860701972975</v>
      </c>
      <c r="BK223" s="31">
        <f t="shared" si="210"/>
        <v>80.2266692653498</v>
      </c>
      <c r="BL223" s="32">
        <f t="shared" si="258"/>
        <v>6.15239011788465</v>
      </c>
      <c r="BM223" s="31">
        <f t="shared" si="259"/>
        <v>62.3380609670344</v>
      </c>
      <c r="BO223">
        <f t="shared" si="260"/>
        <v>0</v>
      </c>
      <c r="BP223">
        <f t="shared" si="261"/>
        <v>0</v>
      </c>
    </row>
    <row r="224" spans="14:68">
      <c r="N224" s="7">
        <v>6</v>
      </c>
      <c r="O224" s="18">
        <f t="shared" si="262"/>
        <v>1148.15362149688</v>
      </c>
      <c r="P224" s="86" t="str">
        <f t="shared" si="212"/>
        <v>54,5454545454545</v>
      </c>
      <c r="Q224" s="4" t="str">
        <f t="shared" si="213"/>
        <v>1+14,6904534559475i</v>
      </c>
      <c r="R224" s="4">
        <f t="shared" si="224"/>
        <v>14.7244498281382</v>
      </c>
      <c r="S224" s="4">
        <f t="shared" si="225"/>
        <v>1.50282975854402</v>
      </c>
      <c r="T224" s="4" t="str">
        <f t="shared" si="214"/>
        <v>1+0,113116491610796i</v>
      </c>
      <c r="U224" s="4">
        <f t="shared" si="226"/>
        <v>1.00637733513545</v>
      </c>
      <c r="V224" s="4">
        <f t="shared" si="227"/>
        <v>0.112637707313463</v>
      </c>
      <c r="W224" t="str">
        <f t="shared" si="215"/>
        <v>1-0,324632788423841i</v>
      </c>
      <c r="X224" s="4">
        <f t="shared" si="228"/>
        <v>1.05137360025818</v>
      </c>
      <c r="Y224" s="4">
        <f t="shared" si="229"/>
        <v>-0.313899732929799</v>
      </c>
      <c r="Z224" t="str">
        <f t="shared" si="216"/>
        <v>0,999989238720502+0,0224151211054557i</v>
      </c>
      <c r="AA224" s="4">
        <f t="shared" si="230"/>
        <v>1.00024042870251</v>
      </c>
      <c r="AB224" s="4">
        <f t="shared" si="231"/>
        <v>0.0224116092666466</v>
      </c>
      <c r="AC224" s="67" t="str">
        <f t="shared" si="232"/>
        <v>-0,607694090334792-3,8712116842i</v>
      </c>
      <c r="AD224" s="68">
        <f t="shared" si="233"/>
        <v>11.8626599900966</v>
      </c>
      <c r="AE224" s="31">
        <f t="shared" si="234"/>
        <v>-98.9213577583818</v>
      </c>
      <c r="AF224" s="32" t="str">
        <f t="shared" si="235"/>
        <v>432,040091031901</v>
      </c>
      <c r="AG224" s="32" t="str">
        <f t="shared" si="217"/>
        <v>1+11,9699991122535i</v>
      </c>
      <c r="AH224" s="32">
        <f t="shared" si="236"/>
        <v>12.0116975797491</v>
      </c>
      <c r="AI224" s="32">
        <f t="shared" si="237"/>
        <v>1.4874476772521</v>
      </c>
      <c r="AJ224" s="32" t="str">
        <f t="shared" si="218"/>
        <v>1+0,113116491610796i</v>
      </c>
      <c r="AK224" s="32">
        <f t="shared" si="238"/>
        <v>1.00637733513545</v>
      </c>
      <c r="AL224" s="32">
        <f t="shared" si="239"/>
        <v>0.112637707313463</v>
      </c>
      <c r="AM224" s="32" t="str">
        <f t="shared" si="219"/>
        <v>1-0,033394617840889i</v>
      </c>
      <c r="AN224" s="32">
        <f t="shared" si="240"/>
        <v>1.00055744487797</v>
      </c>
      <c r="AO224" s="32">
        <f t="shared" si="241"/>
        <v>-0.03338221224249</v>
      </c>
      <c r="AP224" s="30" t="str">
        <f t="shared" si="242"/>
        <v>5,86325331057154-35,7400913216745i</v>
      </c>
      <c r="AQ224" s="32">
        <f t="shared" si="243"/>
        <v>31.1784506937291</v>
      </c>
      <c r="AR224" s="31">
        <f t="shared" si="244"/>
        <v>-80.6834687822962</v>
      </c>
      <c r="AS224" t="str">
        <f t="shared" si="220"/>
        <v>-0,000201496259351621</v>
      </c>
      <c r="AT224" t="str">
        <f t="shared" si="221"/>
        <v>0,00162099972352971i</v>
      </c>
      <c r="AU224">
        <f t="shared" si="245"/>
        <v>0.00162099972352971</v>
      </c>
      <c r="AV224">
        <f t="shared" si="246"/>
        <v>1.5707963267949</v>
      </c>
      <c r="AW224" t="str">
        <f t="shared" si="222"/>
        <v>1+0,082992212636664i</v>
      </c>
      <c r="AX224">
        <f t="shared" si="247"/>
        <v>1.00343794394986</v>
      </c>
      <c r="AY224">
        <f t="shared" si="248"/>
        <v>0.0828024541973368</v>
      </c>
      <c r="AZ224" t="str">
        <f t="shared" si="223"/>
        <v>1+3,96773408073582i</v>
      </c>
      <c r="BA224">
        <f t="shared" si="249"/>
        <v>4.09181056934855</v>
      </c>
      <c r="BB224">
        <f t="shared" si="250"/>
        <v>1.32390515097124</v>
      </c>
      <c r="BC224" s="30" t="str">
        <f t="shared" si="251"/>
        <v>-0,479584540239748+0,164105479684264i</v>
      </c>
      <c r="BD224" s="32">
        <f t="shared" si="252"/>
        <v>-5.90181904402491</v>
      </c>
      <c r="BE224" s="31">
        <f t="shared" si="253"/>
        <v>161.109946467449</v>
      </c>
      <c r="BF224" s="30" t="str">
        <f t="shared" si="254"/>
        <v>0,926727741314592+1,75684734554211i</v>
      </c>
      <c r="BG224" s="68">
        <f t="shared" si="255"/>
        <v>5.96084094607165</v>
      </c>
      <c r="BH224" s="31">
        <f t="shared" si="256"/>
        <v>62.1885887090675</v>
      </c>
      <c r="BI224" s="30" t="str">
        <f t="shared" si="209"/>
        <v>3,05321918704316+18,1025872616736i</v>
      </c>
      <c r="BJ224" s="68">
        <f t="shared" si="257"/>
        <v>25.2766316497042</v>
      </c>
      <c r="BK224" s="31">
        <f t="shared" si="210"/>
        <v>80.4264776851532</v>
      </c>
      <c r="BL224" s="32">
        <f t="shared" si="258"/>
        <v>5.96084094607165</v>
      </c>
      <c r="BM224" s="31">
        <f t="shared" si="259"/>
        <v>62.1885887090675</v>
      </c>
      <c r="BO224">
        <f t="shared" si="260"/>
        <v>0</v>
      </c>
      <c r="BP224">
        <f t="shared" si="261"/>
        <v>0</v>
      </c>
    </row>
    <row r="225" spans="14:68">
      <c r="N225" s="7">
        <v>7</v>
      </c>
      <c r="O225" s="18">
        <f t="shared" si="262"/>
        <v>1174.89755493953</v>
      </c>
      <c r="P225" s="86" t="str">
        <f t="shared" si="212"/>
        <v>54,5454545454545</v>
      </c>
      <c r="Q225" s="4" t="str">
        <f t="shared" si="213"/>
        <v>1+15,0326380748977i</v>
      </c>
      <c r="R225" s="4">
        <f t="shared" si="224"/>
        <v>15.0658623215156</v>
      </c>
      <c r="S225" s="4">
        <f t="shared" si="225"/>
        <v>1.50437226711406</v>
      </c>
      <c r="T225" s="4" t="str">
        <f t="shared" si="214"/>
        <v>1+0,115751313176713i</v>
      </c>
      <c r="U225" s="4">
        <f t="shared" si="226"/>
        <v>1.00667689280232</v>
      </c>
      <c r="V225" s="4">
        <f t="shared" si="227"/>
        <v>0.11523847015621</v>
      </c>
      <c r="W225" t="str">
        <f t="shared" si="215"/>
        <v>1-0,332194457458678i</v>
      </c>
      <c r="X225" s="4">
        <f t="shared" si="228"/>
        <v>1.05373296312029</v>
      </c>
      <c r="Y225" s="4">
        <f t="shared" si="229"/>
        <v>-0.320725216148751</v>
      </c>
      <c r="Z225" t="str">
        <f t="shared" si="216"/>
        <v>0,999988731557024+0,0229372363483373i</v>
      </c>
      <c r="AA225" s="4">
        <f t="shared" si="230"/>
        <v>1.00025175833503</v>
      </c>
      <c r="AB225" s="4">
        <f t="shared" si="231"/>
        <v>0.0229334733963818</v>
      </c>
      <c r="AC225" s="67" t="str">
        <f t="shared" si="232"/>
        <v>-0,619269162516622-3,78924137926341i</v>
      </c>
      <c r="AD225" s="68">
        <f t="shared" si="233"/>
        <v>11.6855182662556</v>
      </c>
      <c r="AE225" s="31">
        <f t="shared" si="234"/>
        <v>-99.2816962486008</v>
      </c>
      <c r="AF225" s="32" t="str">
        <f t="shared" si="235"/>
        <v>432,040091031901</v>
      </c>
      <c r="AG225" s="32" t="str">
        <f t="shared" si="217"/>
        <v>1+12,2488162091759i</v>
      </c>
      <c r="AH225" s="32">
        <f t="shared" si="236"/>
        <v>12.2895686875565</v>
      </c>
      <c r="AI225" s="32">
        <f t="shared" si="237"/>
        <v>1.48933644530591</v>
      </c>
      <c r="AJ225" s="32" t="str">
        <f t="shared" si="218"/>
        <v>1+0,115751313176713i</v>
      </c>
      <c r="AK225" s="32">
        <f t="shared" si="238"/>
        <v>1.00667689280232</v>
      </c>
      <c r="AL225" s="32">
        <f t="shared" si="239"/>
        <v>0.11523847015621</v>
      </c>
      <c r="AM225" s="32" t="str">
        <f t="shared" si="219"/>
        <v>1-0,0341724784164757i</v>
      </c>
      <c r="AN225" s="32">
        <f t="shared" si="240"/>
        <v>1.00058370878259</v>
      </c>
      <c r="AO225" s="32">
        <f t="shared" si="241"/>
        <v>-0.0341591859970807</v>
      </c>
      <c r="AP225" s="30" t="str">
        <f t="shared" si="242"/>
        <v>5,73026893445149-34,9436838111572i</v>
      </c>
      <c r="AQ225" s="32">
        <f t="shared" si="243"/>
        <v>30.9826187036398</v>
      </c>
      <c r="AR225" s="31">
        <f t="shared" si="244"/>
        <v>-80.6871918027852</v>
      </c>
      <c r="AS225" t="str">
        <f t="shared" si="220"/>
        <v>-0,000201496259351621</v>
      </c>
      <c r="AT225" t="str">
        <f t="shared" si="221"/>
        <v>0,001658757657577i</v>
      </c>
      <c r="AU225">
        <f t="shared" si="245"/>
        <v>0.001658757657577</v>
      </c>
      <c r="AV225">
        <f t="shared" si="246"/>
        <v>1.5707963267949</v>
      </c>
      <c r="AW225" t="str">
        <f t="shared" si="222"/>
        <v>1+0,0849253496049727i</v>
      </c>
      <c r="AX225">
        <f t="shared" si="247"/>
        <v>1.00359967865954</v>
      </c>
      <c r="AY225">
        <f t="shared" si="248"/>
        <v>0.0847220591416609</v>
      </c>
      <c r="AZ225" t="str">
        <f t="shared" si="223"/>
        <v>1+4,0601544800505i</v>
      </c>
      <c r="BA225">
        <f t="shared" si="249"/>
        <v>4.18148949560729</v>
      </c>
      <c r="BB225">
        <f t="shared" si="250"/>
        <v>1.3293067634338</v>
      </c>
      <c r="BC225" s="30" t="str">
        <f t="shared" si="251"/>
        <v>-0,479429978180764+0,162189958449978i</v>
      </c>
      <c r="BD225" s="32">
        <f t="shared" si="252"/>
        <v>-5.91490912172337</v>
      </c>
      <c r="BE225" s="31">
        <f t="shared" si="253"/>
        <v>161.309450802477</v>
      </c>
      <c r="BF225" s="30" t="str">
        <f t="shared" si="254"/>
        <v>0,911473102933034+1,71623667204398i</v>
      </c>
      <c r="BG225" s="68">
        <f t="shared" si="255"/>
        <v>5.77060914453221</v>
      </c>
      <c r="BH225" s="31">
        <f t="shared" si="256"/>
        <v>62.0277545538764</v>
      </c>
      <c r="BI225" s="30" t="str">
        <f t="shared" si="209"/>
        <v>2,92025191520677+17,6824416475245i</v>
      </c>
      <c r="BJ225" s="68">
        <f t="shared" si="257"/>
        <v>25.0677095819164</v>
      </c>
      <c r="BK225" s="31">
        <f t="shared" si="210"/>
        <v>80.6222589996921</v>
      </c>
      <c r="BL225" s="32">
        <f t="shared" si="258"/>
        <v>5.77060914453221</v>
      </c>
      <c r="BM225" s="31">
        <f t="shared" si="259"/>
        <v>62.0277545538764</v>
      </c>
      <c r="BO225">
        <f t="shared" si="260"/>
        <v>0</v>
      </c>
      <c r="BP225">
        <f t="shared" si="261"/>
        <v>0</v>
      </c>
    </row>
    <row r="226" spans="14:68">
      <c r="N226" s="7">
        <v>8</v>
      </c>
      <c r="O226" s="18">
        <f t="shared" si="262"/>
        <v>1202.26443461741</v>
      </c>
      <c r="P226" s="86" t="str">
        <f t="shared" si="212"/>
        <v>54,5454545454545</v>
      </c>
      <c r="Q226" s="4" t="str">
        <f t="shared" si="213"/>
        <v>1+15,3827931975356i</v>
      </c>
      <c r="R226" s="4">
        <f t="shared" si="224"/>
        <v>15.4152627794062</v>
      </c>
      <c r="S226" s="4">
        <f t="shared" si="225"/>
        <v>1.50587996984707</v>
      </c>
      <c r="T226" s="4" t="str">
        <f t="shared" si="214"/>
        <v>1+0,118447507621024i</v>
      </c>
      <c r="U226" s="4">
        <f t="shared" si="226"/>
        <v>1.00699047267669</v>
      </c>
      <c r="V226" s="4">
        <f t="shared" si="227"/>
        <v>0.117898192243983</v>
      </c>
      <c r="W226" t="str">
        <f t="shared" si="215"/>
        <v>1-0,339932260391971i</v>
      </c>
      <c r="X226" s="4">
        <f t="shared" si="228"/>
        <v>1.05619787050306</v>
      </c>
      <c r="Y226" s="4">
        <f t="shared" si="229"/>
        <v>-0.327677785189974</v>
      </c>
      <c r="Z226" t="str">
        <f t="shared" si="216"/>
        <v>0,999988200491667+0,0234715132175408i</v>
      </c>
      <c r="AA226" s="4">
        <f t="shared" si="230"/>
        <v>1.00026362177942</v>
      </c>
      <c r="AB226" s="4">
        <f t="shared" si="231"/>
        <v>0.0234674811992374</v>
      </c>
      <c r="AC226" s="67" t="str">
        <f t="shared" si="232"/>
        <v>-0,630339130585174-3,70921161990959i</v>
      </c>
      <c r="AD226" s="68">
        <f t="shared" si="233"/>
        <v>11.509276151602</v>
      </c>
      <c r="AE226" s="31">
        <f t="shared" si="234"/>
        <v>-99.6446396578216</v>
      </c>
      <c r="AF226" s="32" t="str">
        <f t="shared" si="235"/>
        <v>432,040091031901</v>
      </c>
      <c r="AG226" s="32" t="str">
        <f t="shared" si="217"/>
        <v>1+12,5341277905846i</v>
      </c>
      <c r="AH226" s="32">
        <f t="shared" si="236"/>
        <v>12.573955601588</v>
      </c>
      <c r="AI226" s="32">
        <f t="shared" si="237"/>
        <v>1.49118278277799</v>
      </c>
      <c r="AJ226" s="32" t="str">
        <f t="shared" si="218"/>
        <v>1+0,118447507621024i</v>
      </c>
      <c r="AK226" s="32">
        <f t="shared" si="238"/>
        <v>1.00699047267669</v>
      </c>
      <c r="AL226" s="32">
        <f t="shared" si="239"/>
        <v>0.117898192243983</v>
      </c>
      <c r="AM226" s="32" t="str">
        <f t="shared" si="219"/>
        <v>1-0,0349684576924447i</v>
      </c>
      <c r="AN226" s="32">
        <f t="shared" si="240"/>
        <v>1.00061120972803</v>
      </c>
      <c r="AO226" s="32">
        <f t="shared" si="241"/>
        <v>-0.0349542150782954</v>
      </c>
      <c r="AP226" s="30" t="str">
        <f t="shared" si="242"/>
        <v>5,60319234401112-34,1648325446607i</v>
      </c>
      <c r="AQ226" s="32">
        <f t="shared" si="243"/>
        <v>30.7868570387584</v>
      </c>
      <c r="AR226" s="31">
        <f t="shared" si="244"/>
        <v>-80.686140108129</v>
      </c>
      <c r="AS226" t="str">
        <f t="shared" si="220"/>
        <v>-0,000201496259351621</v>
      </c>
      <c r="AT226" t="str">
        <f t="shared" si="221"/>
        <v>0,00169739508689057i</v>
      </c>
      <c r="AU226">
        <f t="shared" si="245"/>
        <v>0.00169739508689057</v>
      </c>
      <c r="AV226">
        <f t="shared" si="246"/>
        <v>1.5707963267949</v>
      </c>
      <c r="AW226" t="str">
        <f t="shared" si="222"/>
        <v>1+0,0869035151177614i</v>
      </c>
      <c r="AX226">
        <f t="shared" si="247"/>
        <v>1.00376900776016</v>
      </c>
      <c r="AY226">
        <f t="shared" si="248"/>
        <v>0.0866857296122792</v>
      </c>
      <c r="AZ226" t="str">
        <f t="shared" si="223"/>
        <v>1+4,15472762701297i</v>
      </c>
      <c r="BA226">
        <f t="shared" si="249"/>
        <v>4.27337824848969</v>
      </c>
      <c r="BB226">
        <f t="shared" si="250"/>
        <v>1.33459934454992</v>
      </c>
      <c r="BC226" s="30" t="str">
        <f t="shared" si="251"/>
        <v>-0,479268238579308+0,160359204185867i</v>
      </c>
      <c r="BD226" s="32">
        <f t="shared" si="252"/>
        <v>-5.92756799672378</v>
      </c>
      <c r="BE226" s="31">
        <f t="shared" si="253"/>
        <v>161.500183332841</v>
      </c>
      <c r="BF226" s="30" t="str">
        <f t="shared" si="254"/>
        <v>0,896907748348841+1,67662663824412i</v>
      </c>
      <c r="BG226" s="68">
        <f t="shared" si="255"/>
        <v>5.58170815487826</v>
      </c>
      <c r="BH226" s="31">
        <f t="shared" si="256"/>
        <v>61.8555436750192</v>
      </c>
      <c r="BI226" s="30" t="str">
        <f t="shared" si="209"/>
        <v>2,79321323286993+17,2726425802225i</v>
      </c>
      <c r="BJ226" s="68">
        <f t="shared" si="257"/>
        <v>24.8592890420346</v>
      </c>
      <c r="BK226" s="31">
        <f t="shared" si="210"/>
        <v>80.8140432247118</v>
      </c>
      <c r="BL226" s="32">
        <f t="shared" si="258"/>
        <v>5.58170815487826</v>
      </c>
      <c r="BM226" s="31">
        <f t="shared" si="259"/>
        <v>61.8555436750192</v>
      </c>
      <c r="BO226">
        <f t="shared" si="260"/>
        <v>0</v>
      </c>
      <c r="BP226">
        <f t="shared" si="261"/>
        <v>0</v>
      </c>
    </row>
    <row r="227" spans="14:68">
      <c r="N227" s="7">
        <v>9</v>
      </c>
      <c r="O227" s="18">
        <f t="shared" si="262"/>
        <v>1230.26877081238</v>
      </c>
      <c r="P227" s="86" t="str">
        <f t="shared" si="212"/>
        <v>54,5454545454545</v>
      </c>
      <c r="Q227" s="4" t="str">
        <f t="shared" si="213"/>
        <v>1+15,7411044807423i</v>
      </c>
      <c r="R227" s="4">
        <f t="shared" si="224"/>
        <v>15.7728364688678</v>
      </c>
      <c r="S227" s="4">
        <f t="shared" si="225"/>
        <v>1.50735363871347</v>
      </c>
      <c r="T227" s="4" t="str">
        <f t="shared" si="214"/>
        <v>1+0,121206504501716i</v>
      </c>
      <c r="U227" s="4">
        <f t="shared" si="226"/>
        <v>1.00731872648806</v>
      </c>
      <c r="V227" s="4">
        <f t="shared" si="227"/>
        <v>0.120618133193917</v>
      </c>
      <c r="W227" t="str">
        <f t="shared" si="215"/>
        <v>1-0,347850299909261i</v>
      </c>
      <c r="X227" s="4">
        <f t="shared" si="228"/>
        <v>1.05877279486534</v>
      </c>
      <c r="Y227" s="4">
        <f t="shared" si="229"/>
        <v>-0.334758436904955</v>
      </c>
      <c r="Z227" t="str">
        <f t="shared" si="216"/>
        <v>0,999987644397972+0,0240182349937347i</v>
      </c>
      <c r="AA227" s="4">
        <f t="shared" si="230"/>
        <v>1.00027604418021</v>
      </c>
      <c r="AB227" s="4">
        <f t="shared" si="231"/>
        <v>0.0240139146726422</v>
      </c>
      <c r="AC227" s="67" t="str">
        <f t="shared" si="232"/>
        <v>-0,640926877077864-3,63108447520129i</v>
      </c>
      <c r="AD227" s="68">
        <f t="shared" si="233"/>
        <v>11.3339715603884</v>
      </c>
      <c r="AE227" s="31">
        <f t="shared" si="234"/>
        <v>-100.010233318591</v>
      </c>
      <c r="AF227" s="32" t="str">
        <f t="shared" si="235"/>
        <v>432,040091031901</v>
      </c>
      <c r="AG227" s="32" t="str">
        <f t="shared" si="217"/>
        <v>1+12,8260851324567i</v>
      </c>
      <c r="AH227" s="32">
        <f t="shared" si="236"/>
        <v>12.8650091265038</v>
      </c>
      <c r="AI227" s="32">
        <f t="shared" si="237"/>
        <v>1.49298761824009</v>
      </c>
      <c r="AJ227" s="32" t="str">
        <f t="shared" si="218"/>
        <v>1+0,121206504501716i</v>
      </c>
      <c r="AK227" s="32">
        <f t="shared" si="238"/>
        <v>1.00731872648806</v>
      </c>
      <c r="AL227" s="32">
        <f t="shared" si="239"/>
        <v>0.120618133193917</v>
      </c>
      <c r="AM227" s="32" t="str">
        <f t="shared" si="219"/>
        <v>1-0,0357829777075448i</v>
      </c>
      <c r="AN227" s="32">
        <f t="shared" si="240"/>
        <v>1.00064000594301</v>
      </c>
      <c r="AO227" s="32">
        <f t="shared" si="241"/>
        <v>-0.03576771699866</v>
      </c>
      <c r="AP227" s="30" t="str">
        <f t="shared" si="242"/>
        <v>5,48176440074023-33,4031885875449i</v>
      </c>
      <c r="AQ227" s="32">
        <f t="shared" si="243"/>
        <v>30.591174403285</v>
      </c>
      <c r="AR227" s="31">
        <f t="shared" si="244"/>
        <v>-80.6803186525295</v>
      </c>
      <c r="AS227" t="str">
        <f t="shared" si="220"/>
        <v>-0,000201496259351621</v>
      </c>
      <c r="AT227" t="str">
        <f t="shared" si="221"/>
        <v>0,00173693249754691i</v>
      </c>
      <c r="AU227">
        <f t="shared" si="245"/>
        <v>0.00173693249754691</v>
      </c>
      <c r="AV227">
        <f t="shared" si="246"/>
        <v>1.5707963267949</v>
      </c>
      <c r="AW227" t="str">
        <f t="shared" si="222"/>
        <v>1+0,08892775802457i</v>
      </c>
      <c r="AX227">
        <f t="shared" si="247"/>
        <v>1.00394628648513</v>
      </c>
      <c r="AY227">
        <f t="shared" si="248"/>
        <v>0.0886944461643029</v>
      </c>
      <c r="AZ227" t="str">
        <f t="shared" si="223"/>
        <v>1+4,25150366555763i</v>
      </c>
      <c r="BA227">
        <f t="shared" si="249"/>
        <v>4.36752600659114</v>
      </c>
      <c r="BB227">
        <f t="shared" si="250"/>
        <v>1.33978451397956</v>
      </c>
      <c r="BC227" s="30" t="str">
        <f t="shared" si="251"/>
        <v>-0,479098993348089+0,158612159687648i</v>
      </c>
      <c r="BD227" s="32">
        <f t="shared" si="252"/>
        <v>-5.93981861161081</v>
      </c>
      <c r="BE227" s="31">
        <f t="shared" si="253"/>
        <v>161.68218067655</v>
      </c>
      <c r="BF227" s="30" t="str">
        <f t="shared" si="254"/>
        <v>0,883001572237706+1,63799012065563i</v>
      </c>
      <c r="BG227" s="68">
        <f t="shared" si="255"/>
        <v>5.39415294877758</v>
      </c>
      <c r="BH227" s="31">
        <f t="shared" si="256"/>
        <v>61.6719473579591</v>
      </c>
      <c r="BI227" s="30" t="str">
        <f t="shared" si="209"/>
        <v>2,67184407615826+16,8729085174094i</v>
      </c>
      <c r="BJ227" s="68">
        <f t="shared" si="257"/>
        <v>24.6513557916742</v>
      </c>
      <c r="BK227" s="31">
        <f t="shared" si="210"/>
        <v>81.0018620240207</v>
      </c>
      <c r="BL227" s="32">
        <f t="shared" si="258"/>
        <v>5.39415294877758</v>
      </c>
      <c r="BM227" s="31">
        <f t="shared" si="259"/>
        <v>61.6719473579591</v>
      </c>
      <c r="BO227">
        <f t="shared" si="260"/>
        <v>0</v>
      </c>
      <c r="BP227">
        <f t="shared" si="261"/>
        <v>0</v>
      </c>
    </row>
    <row r="228" spans="14:68">
      <c r="N228" s="7">
        <v>10</v>
      </c>
      <c r="O228" s="18">
        <f t="shared" si="262"/>
        <v>1258.92541179417</v>
      </c>
      <c r="P228" s="86" t="str">
        <f t="shared" si="212"/>
        <v>54,5454545454545</v>
      </c>
      <c r="Q228" s="4" t="str">
        <f t="shared" si="213"/>
        <v>1+16,1077619059028i</v>
      </c>
      <c r="R228" s="4">
        <f t="shared" si="224"/>
        <v>16.1387729898296</v>
      </c>
      <c r="S228" s="4">
        <f t="shared" si="225"/>
        <v>1.50879402945462</v>
      </c>
      <c r="T228" s="4" t="str">
        <f t="shared" si="214"/>
        <v>1+0,124029766675452i</v>
      </c>
      <c r="U228" s="4">
        <f t="shared" si="226"/>
        <v>1.00766233581571</v>
      </c>
      <c r="V228" s="4">
        <f t="shared" si="227"/>
        <v>0.123399574089481</v>
      </c>
      <c r="W228" t="str">
        <f t="shared" si="215"/>
        <v>1-0,355952774259907i</v>
      </c>
      <c r="X228" s="4">
        <f t="shared" si="228"/>
        <v>1.06146237686662</v>
      </c>
      <c r="Y228" s="4">
        <f t="shared" si="229"/>
        <v>-0.341968084686376</v>
      </c>
      <c r="Z228" t="str">
        <f t="shared" si="216"/>
        <v>0,999987062096388+0,0245776915560412i</v>
      </c>
      <c r="AA228" s="4">
        <f t="shared" si="230"/>
        <v>1.0002890518657</v>
      </c>
      <c r="AB228" s="4">
        <f t="shared" si="231"/>
        <v>0.0245730623207946</v>
      </c>
      <c r="AC228" s="67" t="str">
        <f t="shared" si="232"/>
        <v>-0,651054313743561-3,55482272402309i</v>
      </c>
      <c r="AD228" s="68">
        <f t="shared" si="233"/>
        <v>11.1596433643042</v>
      </c>
      <c r="AE228" s="31">
        <f t="shared" si="234"/>
        <v>-100.378515994643</v>
      </c>
      <c r="AF228" s="32" t="str">
        <f t="shared" si="235"/>
        <v>432,040091031901</v>
      </c>
      <c r="AG228" s="32" t="str">
        <f t="shared" si="217"/>
        <v>1+13,1248430344393i</v>
      </c>
      <c r="AH228" s="32">
        <f t="shared" si="236"/>
        <v>13.1628836004376</v>
      </c>
      <c r="AI228" s="32">
        <f t="shared" si="237"/>
        <v>1.49475186158059</v>
      </c>
      <c r="AJ228" s="32" t="str">
        <f t="shared" si="218"/>
        <v>1+0,124029766675452i</v>
      </c>
      <c r="AK228" s="32">
        <f t="shared" si="238"/>
        <v>1.00766233581571</v>
      </c>
      <c r="AL228" s="32">
        <f t="shared" si="239"/>
        <v>0.123399574089481</v>
      </c>
      <c r="AM228" s="32" t="str">
        <f t="shared" si="219"/>
        <v>1-0,0366164703310692i</v>
      </c>
      <c r="AN228" s="32">
        <f t="shared" si="240"/>
        <v>1.00067015839362</v>
      </c>
      <c r="AO228" s="32">
        <f t="shared" si="241"/>
        <v>-0.0366001187782909</v>
      </c>
      <c r="AP228" s="30" t="str">
        <f t="shared" si="242"/>
        <v>5,36573704295854-32,6584079428816i</v>
      </c>
      <c r="AQ228" s="32">
        <f t="shared" si="243"/>
        <v>30.3955796516627</v>
      </c>
      <c r="AR228" s="31">
        <f t="shared" si="244"/>
        <v>-80.6697306345251</v>
      </c>
      <c r="AS228" t="str">
        <f t="shared" si="220"/>
        <v>-0,000201496259351621</v>
      </c>
      <c r="AT228" t="str">
        <f t="shared" si="221"/>
        <v>0,00177739085280447i</v>
      </c>
      <c r="AU228">
        <f t="shared" si="245"/>
        <v>0.00177739085280447</v>
      </c>
      <c r="AV228">
        <f t="shared" si="246"/>
        <v>1.5707963267949</v>
      </c>
      <c r="AW228" t="str">
        <f t="shared" si="222"/>
        <v>1+0,0909991516057813i</v>
      </c>
      <c r="AX228">
        <f t="shared" si="247"/>
        <v>1.00413188655324</v>
      </c>
      <c r="AY228">
        <f t="shared" si="248"/>
        <v>0.0907492089694531</v>
      </c>
      <c r="AZ228" t="str">
        <f t="shared" si="223"/>
        <v>1+4,35053390762107i</v>
      </c>
      <c r="BA228">
        <f t="shared" si="249"/>
        <v>4.46398311840005</v>
      </c>
      <c r="BB228">
        <f t="shared" si="250"/>
        <v>1.34486390521051</v>
      </c>
      <c r="BC228" s="30" t="str">
        <f t="shared" si="251"/>
        <v>-0,478921899902313+0,156947806108166i</v>
      </c>
      <c r="BD228" s="32">
        <f t="shared" si="252"/>
        <v>-5.95168335087436</v>
      </c>
      <c r="BE228" s="31">
        <f t="shared" si="253"/>
        <v>161.855479119944</v>
      </c>
      <c r="BF228" s="30" t="str">
        <f t="shared" si="254"/>
        <v>0,869725796516541+1,60030090660574i</v>
      </c>
      <c r="BG228" s="68">
        <f t="shared" si="255"/>
        <v>5.20796001342986</v>
      </c>
      <c r="BH228" s="31">
        <f t="shared" si="256"/>
        <v>61.476963125301</v>
      </c>
      <c r="BI228" s="30" t="str">
        <f t="shared" si="209"/>
        <v>2,55589649863085+16,4829674368353i</v>
      </c>
      <c r="BJ228" s="68">
        <f t="shared" si="257"/>
        <v>24.4438963007883</v>
      </c>
      <c r="BK228" s="31">
        <f t="shared" si="210"/>
        <v>81.1857484854187</v>
      </c>
      <c r="BL228" s="32">
        <f t="shared" si="258"/>
        <v>5.20796001342986</v>
      </c>
      <c r="BM228" s="31">
        <f t="shared" si="259"/>
        <v>61.476963125301</v>
      </c>
      <c r="BO228">
        <f t="shared" si="260"/>
        <v>0</v>
      </c>
      <c r="BP228">
        <f t="shared" si="261"/>
        <v>0</v>
      </c>
    </row>
    <row r="229" spans="14:68">
      <c r="N229" s="7">
        <v>11</v>
      </c>
      <c r="O229" s="18">
        <f t="shared" si="262"/>
        <v>1288.24955169313</v>
      </c>
      <c r="P229" s="86" t="str">
        <f t="shared" si="212"/>
        <v>54,5454545454545</v>
      </c>
      <c r="Q229" s="4" t="str">
        <f t="shared" si="213"/>
        <v>1+16,4829598796371i</v>
      </c>
      <c r="R229" s="4">
        <f t="shared" si="224"/>
        <v>16.5132663756668</v>
      </c>
      <c r="S229" s="4">
        <f t="shared" si="225"/>
        <v>1.51020188186395</v>
      </c>
      <c r="T229" s="4" t="str">
        <f t="shared" si="214"/>
        <v>1+0,126918791073206i</v>
      </c>
      <c r="U229" s="4">
        <f t="shared" si="226"/>
        <v>1.00802201341413</v>
      </c>
      <c r="V229" s="4">
        <f t="shared" si="227"/>
        <v>0.126243817448207</v>
      </c>
      <c r="W229" t="str">
        <f t="shared" si="215"/>
        <v>1-0,364243979483054i</v>
      </c>
      <c r="X229" s="4">
        <f t="shared" si="228"/>
        <v>1.06427142994147</v>
      </c>
      <c r="Y229" s="4">
        <f t="shared" si="229"/>
        <v>-0.349307552238752</v>
      </c>
      <c r="Z229" t="str">
        <f t="shared" si="216"/>
        <v>0,999986452351776+0,0251501795357346i</v>
      </c>
      <c r="AA229" s="4">
        <f t="shared" si="230"/>
        <v>1.00030267240359</v>
      </c>
      <c r="AB229" s="4">
        <f t="shared" si="231"/>
        <v>0.025145219301816</v>
      </c>
      <c r="AC229" s="67" t="str">
        <f t="shared" si="232"/>
        <v>-0,660742423477999-3,48038985467425i</v>
      </c>
      <c r="AD229" s="68">
        <f t="shared" si="233"/>
        <v>10.986331396546</v>
      </c>
      <c r="AE229" s="31">
        <f t="shared" si="234"/>
        <v>-100.749519550368</v>
      </c>
      <c r="AF229" s="32" t="str">
        <f t="shared" si="235"/>
        <v>432,040091031901</v>
      </c>
      <c r="AG229" s="32" t="str">
        <f t="shared" si="217"/>
        <v>1+13,4305599019266i</v>
      </c>
      <c r="AH229" s="32">
        <f t="shared" si="236"/>
        <v>13.4677369769104</v>
      </c>
      <c r="AI229" s="32">
        <f t="shared" si="237"/>
        <v>1.49647640426967</v>
      </c>
      <c r="AJ229" s="32" t="str">
        <f t="shared" si="218"/>
        <v>1+0,126918791073206i</v>
      </c>
      <c r="AK229" s="32">
        <f t="shared" si="238"/>
        <v>1.00802201341413</v>
      </c>
      <c r="AL229" s="32">
        <f t="shared" si="239"/>
        <v>0.126243817448207</v>
      </c>
      <c r="AM229" s="32" t="str">
        <f t="shared" si="219"/>
        <v>1-0,037469377491839i</v>
      </c>
      <c r="AN229" s="32">
        <f t="shared" si="240"/>
        <v>1.00070173091168</v>
      </c>
      <c r="AO229" s="32">
        <f t="shared" si="241"/>
        <v>-0.0374518571508734</v>
      </c>
      <c r="AP229" s="30" t="str">
        <f t="shared" si="242"/>
        <v>5,25487283783219-31,9301516390682i</v>
      </c>
      <c r="AQ229" s="32">
        <f t="shared" si="243"/>
        <v>30.2000818048935</v>
      </c>
      <c r="AR229" s="31">
        <f t="shared" si="244"/>
        <v>-80.654377525835</v>
      </c>
      <c r="AS229" t="str">
        <f t="shared" si="220"/>
        <v>-0,000201496259351621</v>
      </c>
      <c r="AT229" t="str">
        <f t="shared" si="221"/>
        <v>0,00181879160421871i</v>
      </c>
      <c r="AU229">
        <f t="shared" si="245"/>
        <v>0.00181879160421871</v>
      </c>
      <c r="AV229">
        <f t="shared" si="246"/>
        <v>1.5707963267949</v>
      </c>
      <c r="AW229" t="str">
        <f t="shared" si="222"/>
        <v>1+0,0931187941416894i</v>
      </c>
      <c r="AX229">
        <f t="shared" si="247"/>
        <v>1.0043261969213</v>
      </c>
      <c r="AY229">
        <f t="shared" si="248"/>
        <v>0.0928510380492673</v>
      </c>
      <c r="AZ229" t="str">
        <f t="shared" si="223"/>
        <v>1+4,45187086034842i</v>
      </c>
      <c r="BA229">
        <f t="shared" si="249"/>
        <v>4.5628011305797</v>
      </c>
      <c r="BB229">
        <f t="shared" si="250"/>
        <v>1.3498391625412</v>
      </c>
      <c r="BC229" s="30" t="str">
        <f t="shared" si="251"/>
        <v>-0,478736600566978+0,155365162005364i</v>
      </c>
      <c r="BD229" s="32">
        <f t="shared" si="252"/>
        <v>-5.9631840629601</v>
      </c>
      <c r="BE229" s="31">
        <f t="shared" si="253"/>
        <v>162.020114431453</v>
      </c>
      <c r="BF229" s="30" t="str">
        <f t="shared" si="254"/>
        <v>0,857052915279534+1,56353365400707i</v>
      </c>
      <c r="BG229" s="68">
        <f t="shared" si="255"/>
        <v>5.02314733358587</v>
      </c>
      <c r="BH229" s="31">
        <f t="shared" si="256"/>
        <v>61.2705948810847</v>
      </c>
      <c r="BI229" s="30" t="str">
        <f t="shared" si="209"/>
        <v>2,44513322346414+16,102556421043i</v>
      </c>
      <c r="BJ229" s="68">
        <f t="shared" si="257"/>
        <v>24.2368977419334</v>
      </c>
      <c r="BK229" s="31">
        <f t="shared" si="210"/>
        <v>81.3657369056175</v>
      </c>
      <c r="BL229" s="32">
        <f t="shared" si="258"/>
        <v>5.02314733358587</v>
      </c>
      <c r="BM229" s="31">
        <f t="shared" si="259"/>
        <v>61.2705948810847</v>
      </c>
      <c r="BO229">
        <f t="shared" si="260"/>
        <v>0</v>
      </c>
      <c r="BP229">
        <f t="shared" si="261"/>
        <v>0</v>
      </c>
    </row>
    <row r="230" spans="14:68">
      <c r="N230" s="7">
        <v>12</v>
      </c>
      <c r="O230" s="18">
        <f t="shared" si="262"/>
        <v>1318.25673855641</v>
      </c>
      <c r="P230" s="86" t="str">
        <f t="shared" si="212"/>
        <v>54,5454545454545</v>
      </c>
      <c r="Q230" s="4" t="str">
        <f t="shared" si="213"/>
        <v>1+16,8668973368776i</v>
      </c>
      <c r="R230" s="4">
        <f t="shared" si="224"/>
        <v>16.8965151961216</v>
      </c>
      <c r="S230" s="4">
        <f t="shared" si="225"/>
        <v>1.5115779200674</v>
      </c>
      <c r="T230" s="4" t="str">
        <f t="shared" si="214"/>
        <v>1+0,129875109493958i</v>
      </c>
      <c r="U230" s="4">
        <f t="shared" si="226"/>
        <v>1.00839850459333</v>
      </c>
      <c r="V230" s="4">
        <f t="shared" si="227"/>
        <v>0.12915218715421</v>
      </c>
      <c r="W230" t="str">
        <f t="shared" si="215"/>
        <v>1-0,372728311685466i</v>
      </c>
      <c r="X230" s="4">
        <f t="shared" si="228"/>
        <v>1.06720494485919</v>
      </c>
      <c r="Y230" s="4">
        <f t="shared" si="229"/>
        <v>-0.356777567193458</v>
      </c>
      <c r="Z230" t="str">
        <f t="shared" si="216"/>
        <v>0,999985813870786+0,0257360024735202i</v>
      </c>
      <c r="AA230" s="4">
        <f t="shared" si="230"/>
        <v>1.00031693465928</v>
      </c>
      <c r="AB230" s="4">
        <f t="shared" si="231"/>
        <v>0.0257306875780164</v>
      </c>
      <c r="AC230" s="67" t="str">
        <f t="shared" si="232"/>
        <v>-0,670011300680356-3,40775006358202i</v>
      </c>
      <c r="AD230" s="68">
        <f t="shared" si="233"/>
        <v>10.8140764529747</v>
      </c>
      <c r="AE230" s="31">
        <f t="shared" si="234"/>
        <v>-101.123268613526</v>
      </c>
      <c r="AF230" s="32" t="str">
        <f t="shared" si="235"/>
        <v>432,040091031901</v>
      </c>
      <c r="AG230" s="32" t="str">
        <f t="shared" si="217"/>
        <v>1+13,7433978300484i</v>
      </c>
      <c r="AH230" s="32">
        <f t="shared" si="236"/>
        <v>13.7797309086563</v>
      </c>
      <c r="AI230" s="32">
        <f t="shared" si="237"/>
        <v>1.49816211962877</v>
      </c>
      <c r="AJ230" s="32" t="str">
        <f t="shared" si="218"/>
        <v>1+0,129875109493958i</v>
      </c>
      <c r="AK230" s="32">
        <f t="shared" si="238"/>
        <v>1.00839850459333</v>
      </c>
      <c r="AL230" s="32">
        <f t="shared" si="239"/>
        <v>0.12915218715421</v>
      </c>
      <c r="AM230" s="32" t="str">
        <f t="shared" si="219"/>
        <v>1-0,0383421514125213i</v>
      </c>
      <c r="AN230" s="32">
        <f t="shared" si="240"/>
        <v>1.00073479032906</v>
      </c>
      <c r="AO230" s="32">
        <f t="shared" si="241"/>
        <v>-0.0383233787733408</v>
      </c>
      <c r="AP230" s="30" t="str">
        <f t="shared" si="242"/>
        <v>5,14894454923602-31,2180858030868i</v>
      </c>
      <c r="AQ230" s="32">
        <f t="shared" si="243"/>
        <v>30.0046900670522</v>
      </c>
      <c r="AR230" s="31">
        <f t="shared" si="244"/>
        <v>-80.6342591026757</v>
      </c>
      <c r="AS230" t="str">
        <f t="shared" si="220"/>
        <v>-0,000201496259351621</v>
      </c>
      <c r="AT230" t="str">
        <f t="shared" si="221"/>
        <v>0,00186115670301609i</v>
      </c>
      <c r="AU230">
        <f t="shared" si="245"/>
        <v>0.00186115670301609</v>
      </c>
      <c r="AV230">
        <f t="shared" si="246"/>
        <v>1.5707963267949</v>
      </c>
      <c r="AW230" t="str">
        <f t="shared" si="222"/>
        <v>1+0,0952878094948255i</v>
      </c>
      <c r="AX230">
        <f t="shared" si="247"/>
        <v>1.00452962456979</v>
      </c>
      <c r="AY230">
        <f t="shared" si="248"/>
        <v>0.0950009734985553</v>
      </c>
      <c r="AZ230" t="str">
        <f t="shared" si="223"/>
        <v>1+4,55556825393346i</v>
      </c>
      <c r="BA230">
        <f t="shared" si="249"/>
        <v>4.66403281680633</v>
      </c>
      <c r="BB230">
        <f t="shared" si="250"/>
        <v>1.35471193824719</v>
      </c>
      <c r="BC230" s="30" t="str">
        <f t="shared" si="251"/>
        <v>-0,478542721964592+0,153863282382938i</v>
      </c>
      <c r="BD230" s="32">
        <f t="shared" si="252"/>
        <v>-5.97434208297104</v>
      </c>
      <c r="BE230" s="31">
        <f t="shared" si="253"/>
        <v>162.17612168645</v>
      </c>
      <c r="BF230" s="30" t="str">
        <f t="shared" si="254"/>
        <v>0,844956641898009+1,52766385324521i</v>
      </c>
      <c r="BG230" s="68">
        <f t="shared" si="255"/>
        <v>4.83973437000365</v>
      </c>
      <c r="BH230" s="31">
        <f t="shared" si="256"/>
        <v>61.0528530729242</v>
      </c>
      <c r="BI230" s="30" t="str">
        <f t="shared" si="209"/>
        <v>2,33932721153898+15,7314212638865i</v>
      </c>
      <c r="BJ230" s="68">
        <f t="shared" si="257"/>
        <v>24.0303479840811</v>
      </c>
      <c r="BK230" s="31">
        <f t="shared" si="210"/>
        <v>81.5418625837741</v>
      </c>
      <c r="BL230" s="32">
        <f t="shared" si="258"/>
        <v>4.83973437000365</v>
      </c>
      <c r="BM230" s="31">
        <f t="shared" si="259"/>
        <v>61.0528530729242</v>
      </c>
      <c r="BO230">
        <f t="shared" si="260"/>
        <v>0</v>
      </c>
      <c r="BP230">
        <f t="shared" si="261"/>
        <v>0</v>
      </c>
    </row>
    <row r="231" spans="14:68">
      <c r="N231" s="7">
        <v>13</v>
      </c>
      <c r="O231" s="18">
        <f t="shared" si="262"/>
        <v>1348.96288259165</v>
      </c>
      <c r="P231" s="86" t="str">
        <f t="shared" si="212"/>
        <v>54,5454545454545</v>
      </c>
      <c r="Q231" s="4" t="str">
        <f t="shared" si="213"/>
        <v>1+17,2597778463457i</v>
      </c>
      <c r="R231" s="4">
        <f t="shared" si="224"/>
        <v>17.2887226626262</v>
      </c>
      <c r="S231" s="4">
        <f t="shared" si="225"/>
        <v>1.51292285280283</v>
      </c>
      <c r="T231" s="4" t="str">
        <f t="shared" si="214"/>
        <v>1+0,132900289416862i</v>
      </c>
      <c r="U231" s="4">
        <f t="shared" si="226"/>
        <v>1.00879258865591</v>
      </c>
      <c r="V231" s="4">
        <f t="shared" si="227"/>
        <v>0.132126028352645</v>
      </c>
      <c r="W231" t="str">
        <f t="shared" si="215"/>
        <v>1-0,381410269372372i</v>
      </c>
      <c r="X231" s="4">
        <f t="shared" si="228"/>
        <v>1.07026809425616</v>
      </c>
      <c r="Y231" s="4">
        <f t="shared" si="229"/>
        <v>-0.364378754584671</v>
      </c>
      <c r="Z231" t="str">
        <f t="shared" si="216"/>
        <v>0,999985145299113+0,0263354709804733i</v>
      </c>
      <c r="AA231" s="4">
        <f t="shared" si="230"/>
        <v>1.00033186885686</v>
      </c>
      <c r="AB231" s="4">
        <f t="shared" si="231"/>
        <v>0.0263297760693213</v>
      </c>
      <c r="AC231" s="67" t="str">
        <f t="shared" si="232"/>
        <v>-0,6788801900827-3,33686825321292i</v>
      </c>
      <c r="AD231" s="68">
        <f t="shared" si="233"/>
        <v>10.6429202901658</v>
      </c>
      <c r="AE231" s="31">
        <f t="shared" si="234"/>
        <v>-101.499780232294</v>
      </c>
      <c r="AF231" s="32" t="str">
        <f t="shared" si="235"/>
        <v>432,040091031901</v>
      </c>
      <c r="AG231" s="32" t="str">
        <f t="shared" si="217"/>
        <v>1+14,063522689615i</v>
      </c>
      <c r="AH231" s="32">
        <f t="shared" si="236"/>
        <v>14.0990308334054</v>
      </c>
      <c r="AI231" s="32">
        <f t="shared" si="237"/>
        <v>1.49980986310348</v>
      </c>
      <c r="AJ231" s="32" t="str">
        <f t="shared" si="218"/>
        <v>1+0,132900289416862i</v>
      </c>
      <c r="AK231" s="32">
        <f t="shared" si="238"/>
        <v>1.00879258865591</v>
      </c>
      <c r="AL231" s="32">
        <f t="shared" si="239"/>
        <v>0.132126028352645</v>
      </c>
      <c r="AM231" s="32" t="str">
        <f t="shared" si="219"/>
        <v>1-0,0392352548494005i</v>
      </c>
      <c r="AN231" s="32">
        <f t="shared" si="240"/>
        <v>1.00076940661828</v>
      </c>
      <c r="AO231" s="32">
        <f t="shared" si="241"/>
        <v>-0.0392151404392564</v>
      </c>
      <c r="AP231" s="30" t="str">
        <f t="shared" si="242"/>
        <v>5,04773472111144-30,521881720476i</v>
      </c>
      <c r="AQ231" s="32">
        <f t="shared" si="243"/>
        <v>29.8094138420141</v>
      </c>
      <c r="AR231" s="31">
        <f t="shared" si="244"/>
        <v>-80.609373479673</v>
      </c>
      <c r="AS231" t="str">
        <f t="shared" si="220"/>
        <v>-0,000201496259351621</v>
      </c>
      <c r="AT231" t="str">
        <f t="shared" si="221"/>
        <v>0,00190450861173271i</v>
      </c>
      <c r="AU231">
        <f t="shared" si="245"/>
        <v>0.00190450861173271</v>
      </c>
      <c r="AV231">
        <f t="shared" si="246"/>
        <v>1.5707963267949</v>
      </c>
      <c r="AW231" t="str">
        <f t="shared" si="222"/>
        <v>1+0,097507347705838i</v>
      </c>
      <c r="AX231">
        <f t="shared" si="247"/>
        <v>1.00474259532311</v>
      </c>
      <c r="AY231">
        <f t="shared" si="248"/>
        <v>0.0972000756978751</v>
      </c>
      <c r="AZ231" t="str">
        <f t="shared" si="223"/>
        <v>1+4,66168107010676i</v>
      </c>
      <c r="BA231">
        <f t="shared" si="249"/>
        <v>4.76773220718107</v>
      </c>
      <c r="BB231">
        <f t="shared" si="250"/>
        <v>1.35948388992561</v>
      </c>
      <c r="BC231" s="30" t="str">
        <f t="shared" si="251"/>
        <v>-0,478339874383184+0,152441257721465i</v>
      </c>
      <c r="BD231" s="32">
        <f t="shared" si="252"/>
        <v>-5.98517825593872</v>
      </c>
      <c r="BE231" s="31">
        <f t="shared" si="253"/>
        <v>162.323535102925</v>
      </c>
      <c r="BF231" s="30" t="str">
        <f t="shared" si="254"/>
        <v>0,833411858215996+1,49266779105671i</v>
      </c>
      <c r="BG231" s="68">
        <f t="shared" si="255"/>
        <v>4.65774203422707</v>
      </c>
      <c r="BH231" s="31">
        <f t="shared" si="256"/>
        <v>60.8237548706311</v>
      </c>
      <c r="BI231" s="30" t="str">
        <f t="shared" si="209"/>
        <v>2,23826124507907+15,3693160976414i</v>
      </c>
      <c r="BJ231" s="68">
        <f t="shared" si="257"/>
        <v>23.8242355860753</v>
      </c>
      <c r="BK231" s="31">
        <f t="shared" si="210"/>
        <v>81.7141616232517</v>
      </c>
      <c r="BL231" s="32">
        <f t="shared" si="258"/>
        <v>4.65774203422707</v>
      </c>
      <c r="BM231" s="31">
        <f t="shared" si="259"/>
        <v>60.8237548706311</v>
      </c>
      <c r="BO231">
        <f t="shared" si="260"/>
        <v>0</v>
      </c>
      <c r="BP231">
        <f t="shared" si="261"/>
        <v>0</v>
      </c>
    </row>
    <row r="232" spans="14:68">
      <c r="N232" s="7">
        <v>14</v>
      </c>
      <c r="O232" s="18">
        <f t="shared" si="262"/>
        <v>1380.38426460289</v>
      </c>
      <c r="P232" s="86" t="str">
        <f t="shared" si="212"/>
        <v>54,5454545454545</v>
      </c>
      <c r="Q232" s="4" t="str">
        <f t="shared" si="213"/>
        <v>1+17,6618097184883i</v>
      </c>
      <c r="R232" s="4">
        <f t="shared" si="224"/>
        <v>17.6900967360862</v>
      </c>
      <c r="S232" s="4">
        <f t="shared" si="225"/>
        <v>1.51423737369819</v>
      </c>
      <c r="T232" s="4" t="str">
        <f t="shared" si="214"/>
        <v>1+0,13599593483236i</v>
      </c>
      <c r="U232" s="4">
        <f t="shared" si="226"/>
        <v>1.00920508039294</v>
      </c>
      <c r="V232" s="4">
        <f t="shared" si="227"/>
        <v>0.135166707303096</v>
      </c>
      <c r="W232" t="str">
        <f t="shared" si="215"/>
        <v>1-0,390294455832665i</v>
      </c>
      <c r="X232" s="4">
        <f t="shared" si="228"/>
        <v>1.07346623712799</v>
      </c>
      <c r="Y232" s="4">
        <f t="shared" si="229"/>
        <v>-0.372111630205435</v>
      </c>
      <c r="Z232" t="str">
        <f t="shared" si="216"/>
        <v>0,999984445218629+0,0269489029027316i</v>
      </c>
      <c r="AA232" s="4">
        <f t="shared" si="230"/>
        <v>1.000347506643</v>
      </c>
      <c r="AB232" s="4">
        <f t="shared" si="231"/>
        <v>0.0269428008099153</v>
      </c>
      <c r="AC232" s="67" t="str">
        <f t="shared" si="232"/>
        <v>-0,687367524103973-3,26771002925279i</v>
      </c>
      <c r="AD232" s="68">
        <f t="shared" si="233"/>
        <v>10.472905620152</v>
      </c>
      <c r="AE232" s="31">
        <f t="shared" si="234"/>
        <v>-101.879063527907</v>
      </c>
      <c r="AF232" s="32" t="str">
        <f t="shared" si="235"/>
        <v>432,040091031901</v>
      </c>
      <c r="AG232" s="32" t="str">
        <f t="shared" si="217"/>
        <v>1+14,3911042150645i</v>
      </c>
      <c r="AH232" s="32">
        <f t="shared" si="236"/>
        <v>14.4258060616677</v>
      </c>
      <c r="AI232" s="32">
        <f t="shared" si="237"/>
        <v>1.50142047253938</v>
      </c>
      <c r="AJ232" s="32" t="str">
        <f t="shared" si="218"/>
        <v>1+0,13599593483236i</v>
      </c>
      <c r="AK232" s="32">
        <f t="shared" si="238"/>
        <v>1.00920508039294</v>
      </c>
      <c r="AL232" s="32">
        <f t="shared" si="239"/>
        <v>0.135166707303096</v>
      </c>
      <c r="AM232" s="32" t="str">
        <f t="shared" si="219"/>
        <v>1-0,0401491613377412i</v>
      </c>
      <c r="AN232" s="32">
        <f t="shared" si="240"/>
        <v>1.00080565303965</v>
      </c>
      <c r="AO232" s="32">
        <f t="shared" si="241"/>
        <v>-0.0401276092959151</v>
      </c>
      <c r="AP232" s="30" t="str">
        <f t="shared" si="242"/>
        <v>4,95103527595634-29,8412158830192i</v>
      </c>
      <c r="AQ232" s="32">
        <f t="shared" si="243"/>
        <v>29.614262750409</v>
      </c>
      <c r="AR232" s="31">
        <f t="shared" si="244"/>
        <v>-80.5797171465023</v>
      </c>
      <c r="AS232" t="str">
        <f t="shared" si="220"/>
        <v>-0,000201496259351621</v>
      </c>
      <c r="AT232" t="str">
        <f t="shared" si="221"/>
        <v>0,00194887031612444i</v>
      </c>
      <c r="AU232">
        <f t="shared" si="245"/>
        <v>0.00194887031612444</v>
      </c>
      <c r="AV232">
        <f t="shared" si="246"/>
        <v>1.5707963267949</v>
      </c>
      <c r="AW232" t="str">
        <f t="shared" si="222"/>
        <v>1+0,0997785856032675i</v>
      </c>
      <c r="AX232">
        <f t="shared" si="247"/>
        <v>1.00496555470573</v>
      </c>
      <c r="AY232">
        <f t="shared" si="248"/>
        <v>0.0994494255137498</v>
      </c>
      <c r="AZ232" t="str">
        <f t="shared" si="223"/>
        <v>1+4,77026557128812i</v>
      </c>
      <c r="BA232">
        <f t="shared" si="249"/>
        <v>4.87395461823526</v>
      </c>
      <c r="BB232">
        <f t="shared" si="250"/>
        <v>1.36415667801118</v>
      </c>
      <c r="BC232" s="30" t="str">
        <f t="shared" si="251"/>
        <v>-0,478127651124451+0,151098212997739i</v>
      </c>
      <c r="BD232" s="32">
        <f t="shared" si="252"/>
        <v>-5.99571296059125</v>
      </c>
      <c r="BE232" s="31">
        <f t="shared" si="253"/>
        <v>162.462387887689</v>
      </c>
      <c r="BF232" s="30" t="str">
        <f t="shared" si="254"/>
        <v>0,822394565773948+1,45852251627766i</v>
      </c>
      <c r="BG232" s="68">
        <f t="shared" si="255"/>
        <v>4.47719265956076</v>
      </c>
      <c r="BH232" s="31">
        <f t="shared" si="256"/>
        <v>60.5833243597824</v>
      </c>
      <c r="BI232" s="30" t="str">
        <f t="shared" si="209"/>
        <v>2,14172752647664+15,0160030395314i</v>
      </c>
      <c r="BJ232" s="68">
        <f t="shared" si="257"/>
        <v>23.6185497898178</v>
      </c>
      <c r="BK232" s="31">
        <f t="shared" si="210"/>
        <v>81.8826707411868</v>
      </c>
      <c r="BL232" s="32">
        <f t="shared" si="258"/>
        <v>4.47719265956076</v>
      </c>
      <c r="BM232" s="31">
        <f t="shared" si="259"/>
        <v>60.5833243597824</v>
      </c>
      <c r="BO232">
        <f t="shared" si="260"/>
        <v>0</v>
      </c>
      <c r="BP232">
        <f t="shared" si="261"/>
        <v>0</v>
      </c>
    </row>
    <row r="233" spans="14:68">
      <c r="N233" s="7">
        <v>15</v>
      </c>
      <c r="O233" s="18">
        <f t="shared" si="262"/>
        <v>1412.53754462275</v>
      </c>
      <c r="P233" s="86" t="str">
        <f t="shared" si="212"/>
        <v>54,5454545454545</v>
      </c>
      <c r="Q233" s="4" t="str">
        <f t="shared" si="213"/>
        <v>1+18,073206115925i</v>
      </c>
      <c r="R233" s="4">
        <f t="shared" si="224"/>
        <v>18.1008502371769</v>
      </c>
      <c r="S233" s="4">
        <f t="shared" si="225"/>
        <v>1.515522161548</v>
      </c>
      <c r="T233" s="4" t="str">
        <f t="shared" si="214"/>
        <v>1+0,139163687092623i</v>
      </c>
      <c r="U233" s="4">
        <f t="shared" si="226"/>
        <v>1.00963683164057</v>
      </c>
      <c r="V233" s="4">
        <f t="shared" si="227"/>
        <v>0.138275611188648</v>
      </c>
      <c r="W233" t="str">
        <f t="shared" si="215"/>
        <v>1-0,399385581579594i</v>
      </c>
      <c r="X233" s="4">
        <f t="shared" si="228"/>
        <v>1.07680492326775</v>
      </c>
      <c r="Y233" s="4">
        <f t="shared" si="229"/>
        <v>-0.379976593865505</v>
      </c>
      <c r="Z233" t="str">
        <f t="shared" si="216"/>
        <v>0,999983712144368+0,0275766234900196i</v>
      </c>
      <c r="AA233" s="4">
        <f t="shared" si="230"/>
        <v>1.00036388115382</v>
      </c>
      <c r="AB233" s="4">
        <f t="shared" si="231"/>
        <v>0.0275700851081454</v>
      </c>
      <c r="AC233" s="67" t="str">
        <f t="shared" si="232"/>
        <v>-0,695490958779456-3,20024169712423i</v>
      </c>
      <c r="AD233" s="68">
        <f t="shared" si="233"/>
        <v>10.304076101669</v>
      </c>
      <c r="AE233" s="31">
        <f t="shared" si="234"/>
        <v>-102.261119344306</v>
      </c>
      <c r="AF233" s="32" t="str">
        <f t="shared" si="235"/>
        <v>432,040091031901</v>
      </c>
      <c r="AG233" s="32" t="str">
        <f t="shared" si="217"/>
        <v>1+14,7263160944574i</v>
      </c>
      <c r="AH233" s="32">
        <f t="shared" si="236"/>
        <v>14.7602298665663</v>
      </c>
      <c r="AI233" s="32">
        <f t="shared" si="237"/>
        <v>1.50299476845995</v>
      </c>
      <c r="AJ233" s="32" t="str">
        <f t="shared" si="218"/>
        <v>1+0,139163687092623i</v>
      </c>
      <c r="AK233" s="32">
        <f t="shared" si="238"/>
        <v>1.00963683164057</v>
      </c>
      <c r="AL233" s="32">
        <f t="shared" si="239"/>
        <v>0.138275611188648</v>
      </c>
      <c r="AM233" s="32" t="str">
        <f t="shared" si="219"/>
        <v>1-0,0410843554428597i</v>
      </c>
      <c r="AN233" s="32">
        <f t="shared" si="240"/>
        <v>1.00084360629529</v>
      </c>
      <c r="AO233" s="32">
        <f t="shared" si="241"/>
        <v>-0.0410612630651472</v>
      </c>
      <c r="AP233" s="30" t="str">
        <f t="shared" si="242"/>
        <v>4,85864712807138-29,175770025095i</v>
      </c>
      <c r="AQ233" s="32">
        <f t="shared" si="243"/>
        <v>29.4192466468179</v>
      </c>
      <c r="AR233" s="31">
        <f t="shared" si="244"/>
        <v>-80.5452850074055</v>
      </c>
      <c r="AS233" t="str">
        <f t="shared" si="220"/>
        <v>-0,000201496259351621</v>
      </c>
      <c r="AT233" t="str">
        <f t="shared" si="221"/>
        <v>0,0019942653373541i</v>
      </c>
      <c r="AU233">
        <f t="shared" si="245"/>
        <v>0.0019942653373541</v>
      </c>
      <c r="AV233">
        <f t="shared" si="246"/>
        <v>1.5707963267949</v>
      </c>
      <c r="AW233" t="str">
        <f t="shared" si="222"/>
        <v>1+0,102102727427508i</v>
      </c>
      <c r="AX233">
        <f t="shared" si="247"/>
        <v>1.00519896883559</v>
      </c>
      <c r="AY233">
        <f t="shared" si="248"/>
        <v>0.101750124485197</v>
      </c>
      <c r="AZ233" t="str">
        <f t="shared" si="223"/>
        <v>1+4,88137933041725i</v>
      </c>
      <c r="BA233">
        <f t="shared" si="249"/>
        <v>4.98275668354624</v>
      </c>
      <c r="BB233">
        <f t="shared" si="250"/>
        <v>1.36873196345757</v>
      </c>
      <c r="BC233" s="30" t="str">
        <f t="shared" si="251"/>
        <v>-0,477905627832022+0,149833306689938i</v>
      </c>
      <c r="BD233" s="32">
        <f t="shared" si="252"/>
        <v>-6.00596613355136</v>
      </c>
      <c r="BE233" s="31">
        <f t="shared" si="253"/>
        <v>162.59271209284</v>
      </c>
      <c r="BF233" s="30" t="str">
        <f t="shared" si="254"/>
        <v>0,811881838994133+1,42520580735149i</v>
      </c>
      <c r="BG233" s="68">
        <f t="shared" si="255"/>
        <v>4.29810996811766</v>
      </c>
      <c r="BH233" s="31">
        <f t="shared" si="256"/>
        <v>60.3315927485344</v>
      </c>
      <c r="BI233" s="30" t="str">
        <f t="shared" si="209"/>
        <v>2,04952729192996+14,6712518565642i</v>
      </c>
      <c r="BJ233" s="68">
        <f t="shared" si="257"/>
        <v>23.4132805132665</v>
      </c>
      <c r="BK233" s="31">
        <f t="shared" si="210"/>
        <v>82.0474270854349</v>
      </c>
      <c r="BL233" s="32">
        <f t="shared" si="258"/>
        <v>4.29810996811766</v>
      </c>
      <c r="BM233" s="31">
        <f t="shared" si="259"/>
        <v>60.3315927485344</v>
      </c>
      <c r="BO233">
        <f t="shared" si="260"/>
        <v>0</v>
      </c>
      <c r="BP233">
        <f t="shared" si="261"/>
        <v>0</v>
      </c>
    </row>
    <row r="234" spans="14:68">
      <c r="N234" s="7">
        <v>16</v>
      </c>
      <c r="O234" s="18">
        <f t="shared" si="262"/>
        <v>1445.43977074593</v>
      </c>
      <c r="P234" s="86" t="str">
        <f t="shared" si="212"/>
        <v>54,5454545454545</v>
      </c>
      <c r="Q234" s="4" t="str">
        <f t="shared" si="213"/>
        <v>1+18,4941851664718i</v>
      </c>
      <c r="R234" s="4">
        <f t="shared" si="224"/>
        <v>18.5212009592182</v>
      </c>
      <c r="S234" s="4">
        <f t="shared" si="225"/>
        <v>1.516777880588</v>
      </c>
      <c r="T234" s="4" t="str">
        <f t="shared" si="214"/>
        <v>1+0,142405225781833i</v>
      </c>
      <c r="U234" s="4">
        <f t="shared" si="226"/>
        <v>1.01008873289923</v>
      </c>
      <c r="V234" s="4">
        <f t="shared" si="227"/>
        <v>0.141454147877324</v>
      </c>
      <c r="W234" t="str">
        <f t="shared" si="215"/>
        <v>1-0,408688466848374i</v>
      </c>
      <c r="X234" s="4">
        <f t="shared" si="228"/>
        <v>1.08028989763622</v>
      </c>
      <c r="Y234" s="4">
        <f t="shared" si="229"/>
        <v>-0.387973922575634</v>
      </c>
      <c r="Z234" t="str">
        <f t="shared" si="216"/>
        <v>0,999982944521381+0,028218965568102i</v>
      </c>
      <c r="AA234" s="4">
        <f t="shared" si="230"/>
        <v>1.00038102708487</v>
      </c>
      <c r="AB234" s="4">
        <f t="shared" si="231"/>
        <v>0.0282119597097374</v>
      </c>
      <c r="AC234" s="67" t="str">
        <f t="shared" si="232"/>
        <v>-0,703267408316043-3,13443025790259i</v>
      </c>
      <c r="AD234" s="68">
        <f t="shared" si="233"/>
        <v>10.1364763277107</v>
      </c>
      <c r="AE234" s="31">
        <f t="shared" si="234"/>
        <v>-102.645939896381</v>
      </c>
      <c r="AF234" s="32" t="str">
        <f t="shared" si="235"/>
        <v>432,040091031901</v>
      </c>
      <c r="AG234" s="32" t="str">
        <f t="shared" si="217"/>
        <v>1+15,0693360615697i</v>
      </c>
      <c r="AH234" s="32">
        <f t="shared" si="236"/>
        <v>15.1024795757692</v>
      </c>
      <c r="AI234" s="32">
        <f t="shared" si="237"/>
        <v>1.50453355434622</v>
      </c>
      <c r="AJ234" s="32" t="str">
        <f t="shared" si="218"/>
        <v>1+0,142405225781833i</v>
      </c>
      <c r="AK234" s="32">
        <f t="shared" si="238"/>
        <v>1.01008873289923</v>
      </c>
      <c r="AL234" s="32">
        <f t="shared" si="239"/>
        <v>0.141454147877324</v>
      </c>
      <c r="AM234" s="32" t="str">
        <f t="shared" si="219"/>
        <v>1-0,0420413330170502i</v>
      </c>
      <c r="AN234" s="32">
        <f t="shared" si="240"/>
        <v>1.00088334669024</v>
      </c>
      <c r="AO234" s="32">
        <f t="shared" si="241"/>
        <v>-0.0420165902678304</v>
      </c>
      <c r="AP234" s="30" t="str">
        <f t="shared" si="242"/>
        <v>4,77037981117873-28,5252311495671i</v>
      </c>
      <c r="AQ234" s="32">
        <f t="shared" si="243"/>
        <v>29.2243756372203</v>
      </c>
      <c r="AR234" s="31">
        <f t="shared" si="244"/>
        <v>-80.5060704237424</v>
      </c>
      <c r="AS234" t="str">
        <f t="shared" si="220"/>
        <v>-0,000201496259351621</v>
      </c>
      <c r="AT234" t="str">
        <f t="shared" si="221"/>
        <v>0,00204071774446288i</v>
      </c>
      <c r="AU234">
        <f t="shared" si="245"/>
        <v>0.00204071774446288</v>
      </c>
      <c r="AV234">
        <f t="shared" si="246"/>
        <v>1.5707963267949</v>
      </c>
      <c r="AW234" t="str">
        <f t="shared" si="222"/>
        <v>1+0,104481005469322i</v>
      </c>
      <c r="AX234">
        <f t="shared" si="247"/>
        <v>1.00544332535647</v>
      </c>
      <c r="AY234">
        <f t="shared" si="248"/>
        <v>0.104103294995109</v>
      </c>
      <c r="AZ234" t="str">
        <f t="shared" si="223"/>
        <v>1+4,99508126148012i</v>
      </c>
      <c r="BA234">
        <f t="shared" si="249"/>
        <v>5.09419638498457</v>
      </c>
      <c r="BB234">
        <f t="shared" si="250"/>
        <v>1.37321140557746</v>
      </c>
      <c r="BC234" s="30" t="str">
        <f t="shared" si="251"/>
        <v>-0,47767336179986+0,148645729766134i</v>
      </c>
      <c r="BD234" s="32">
        <f t="shared" si="252"/>
        <v>-6.01595729390437</v>
      </c>
      <c r="BE234" s="31">
        <f t="shared" si="253"/>
        <v>162.714538482191</v>
      </c>
      <c r="BF234" s="30" t="str">
        <f t="shared" si="254"/>
        <v>0,801851780261581+1,39269614148966i</v>
      </c>
      <c r="BG234" s="68">
        <f t="shared" si="255"/>
        <v>4.12051903380639</v>
      </c>
      <c r="BH234" s="31">
        <f t="shared" si="256"/>
        <v>60.0685985858106</v>
      </c>
      <c r="BI234" s="30" t="str">
        <f t="shared" si="209"/>
        <v>1,96147043950713+14,3348396476261i</v>
      </c>
      <c r="BJ234" s="68">
        <f t="shared" si="257"/>
        <v>23.2084183433159</v>
      </c>
      <c r="BK234" s="31">
        <f t="shared" si="210"/>
        <v>82.2084680584487</v>
      </c>
      <c r="BL234" s="32">
        <f t="shared" si="258"/>
        <v>4.12051903380639</v>
      </c>
      <c r="BM234" s="31">
        <f t="shared" si="259"/>
        <v>60.0685985858106</v>
      </c>
      <c r="BO234">
        <f t="shared" si="260"/>
        <v>0</v>
      </c>
      <c r="BP234">
        <f t="shared" si="261"/>
        <v>0</v>
      </c>
    </row>
    <row r="235" spans="14:68">
      <c r="N235" s="7">
        <v>17</v>
      </c>
      <c r="O235" s="18">
        <f t="shared" si="262"/>
        <v>1479.10838816821</v>
      </c>
      <c r="P235" s="86" t="str">
        <f t="shared" si="212"/>
        <v>54,5454545454545</v>
      </c>
      <c r="Q235" s="4" t="str">
        <f t="shared" si="213"/>
        <v>1+18,9249700787933i</v>
      </c>
      <c r="R235" s="4">
        <f t="shared" si="224"/>
        <v>18.9513717836789</v>
      </c>
      <c r="S235" s="4">
        <f t="shared" si="225"/>
        <v>1.51800518076762</v>
      </c>
      <c r="T235" s="4" t="str">
        <f t="shared" si="214"/>
        <v>1+0,145722269606709i</v>
      </c>
      <c r="U235" s="4">
        <f t="shared" si="226"/>
        <v>1.01056171501761</v>
      </c>
      <c r="V235" s="4">
        <f t="shared" si="227"/>
        <v>0.144703745632267</v>
      </c>
      <c r="W235" t="str">
        <f t="shared" si="215"/>
        <v>1-0,418208044151906i</v>
      </c>
      <c r="X235" s="4">
        <f t="shared" si="228"/>
        <v>1.08392710464928</v>
      </c>
      <c r="Y235" s="4">
        <f t="shared" si="229"/>
        <v>-0.396103763685564</v>
      </c>
      <c r="Z235" t="str">
        <f t="shared" si="216"/>
        <v>0,999982140721437+0,0288762697152507i</v>
      </c>
      <c r="AA235" s="4">
        <f t="shared" si="230"/>
        <v>1.00039898076442</v>
      </c>
      <c r="AB235" s="4">
        <f t="shared" si="231"/>
        <v>0.0288687629643693</v>
      </c>
      <c r="AC235" s="67" t="str">
        <f t="shared" si="232"/>
        <v>-0,710713078322959-3,07024340368989i</v>
      </c>
      <c r="AD235" s="68">
        <f t="shared" si="233"/>
        <v>9.97015180921443</v>
      </c>
      <c r="AE235" s="31">
        <f t="shared" si="234"/>
        <v>-103.033508418567</v>
      </c>
      <c r="AF235" s="32" t="str">
        <f t="shared" si="235"/>
        <v>432,040091031901</v>
      </c>
      <c r="AG235" s="32" t="str">
        <f t="shared" si="217"/>
        <v>1+15,4203459901279i</v>
      </c>
      <c r="AH235" s="32">
        <f t="shared" si="236"/>
        <v>15.4527366655636</v>
      </c>
      <c r="AI235" s="32">
        <f t="shared" si="237"/>
        <v>1.50603761691737</v>
      </c>
      <c r="AJ235" s="32" t="str">
        <f t="shared" si="218"/>
        <v>1+0,145722269606709i</v>
      </c>
      <c r="AK235" s="32">
        <f t="shared" si="238"/>
        <v>1.01056171501761</v>
      </c>
      <c r="AL235" s="32">
        <f t="shared" si="239"/>
        <v>0.144703745632267</v>
      </c>
      <c r="AM235" s="32" t="str">
        <f t="shared" si="219"/>
        <v>1-0,043020601462489i</v>
      </c>
      <c r="AN235" s="32">
        <f t="shared" si="240"/>
        <v>1.00092495830117</v>
      </c>
      <c r="AO235" s="32">
        <f t="shared" si="241"/>
        <v>-0.0429940904520813</v>
      </c>
      <c r="AP235" s="30" t="str">
        <f t="shared" si="242"/>
        <v>4,68605112002489-27,8892915440533i</v>
      </c>
      <c r="AQ235" s="32">
        <f t="shared" si="243"/>
        <v>29.0296600967088</v>
      </c>
      <c r="AR235" s="31">
        <f t="shared" si="244"/>
        <v>-80.4620652597502</v>
      </c>
      <c r="AS235" t="str">
        <f t="shared" si="220"/>
        <v>-0,000201496259351621</v>
      </c>
      <c r="AT235" t="str">
        <f t="shared" si="221"/>
        <v>0,00208825216713185i</v>
      </c>
      <c r="AU235">
        <f t="shared" si="245"/>
        <v>0.00208825216713185</v>
      </c>
      <c r="AV235">
        <f t="shared" si="246"/>
        <v>1.5707963267949</v>
      </c>
      <c r="AW235" t="str">
        <f t="shared" si="222"/>
        <v>1+0,106914680723204i</v>
      </c>
      <c r="AX235">
        <f t="shared" si="247"/>
        <v>1.00569913441056</v>
      </c>
      <c r="AY235">
        <f t="shared" si="248"/>
        <v>0.10651008042485</v>
      </c>
      <c r="AZ235" t="str">
        <f t="shared" si="223"/>
        <v>1+5,11143165074551i</v>
      </c>
      <c r="BA235">
        <f t="shared" si="249"/>
        <v>5.20833308460999</v>
      </c>
      <c r="BB235">
        <f t="shared" si="250"/>
        <v>1.37759666003504</v>
      </c>
      <c r="BC235" s="30" t="str">
        <f t="shared" si="251"/>
        <v>-0,477430391260915+0,147534704653587i</v>
      </c>
      <c r="BD235" s="32">
        <f t="shared" si="252"/>
        <v>-6.0257055680826</v>
      </c>
      <c r="BE235" s="31">
        <f t="shared" si="253"/>
        <v>162.827896407383</v>
      </c>
      <c r="BF235" s="30" t="str">
        <f t="shared" si="254"/>
        <v>0,792283476835991+1,36097266538609i</v>
      </c>
      <c r="BG235" s="68">
        <f t="shared" si="255"/>
        <v>3.94444624113184</v>
      </c>
      <c r="BH235" s="31">
        <f t="shared" si="256"/>
        <v>59.7943879888165</v>
      </c>
      <c r="BI235" s="30" t="str">
        <f t="shared" si="209"/>
        <v>1,87737517124755+14,0065505418516i</v>
      </c>
      <c r="BJ235" s="68">
        <f t="shared" si="257"/>
        <v>23.0039545286262</v>
      </c>
      <c r="BK235" s="31">
        <f t="shared" si="210"/>
        <v>82.3658311476331</v>
      </c>
      <c r="BL235" s="32">
        <f t="shared" si="258"/>
        <v>3.94444624113184</v>
      </c>
      <c r="BM235" s="31">
        <f t="shared" si="259"/>
        <v>59.7943879888165</v>
      </c>
      <c r="BO235">
        <f t="shared" si="260"/>
        <v>0</v>
      </c>
      <c r="BP235">
        <f t="shared" si="261"/>
        <v>0</v>
      </c>
    </row>
    <row r="236" spans="14:68">
      <c r="N236" s="7">
        <v>18</v>
      </c>
      <c r="O236" s="18">
        <f t="shared" si="262"/>
        <v>1513.56124843621</v>
      </c>
      <c r="P236" s="86" t="str">
        <f t="shared" si="212"/>
        <v>54,5454545454545</v>
      </c>
      <c r="Q236" s="4" t="str">
        <f t="shared" si="213"/>
        <v>1+19,3657892607521i</v>
      </c>
      <c r="R236" s="4">
        <f t="shared" si="224"/>
        <v>19.3915907983812</v>
      </c>
      <c r="S236" s="4">
        <f t="shared" si="225"/>
        <v>1.51920469802015</v>
      </c>
      <c r="T236" s="4" t="str">
        <f t="shared" si="214"/>
        <v>1+0,149116577307792i</v>
      </c>
      <c r="U236" s="4">
        <f t="shared" si="226"/>
        <v>1.01105675094328</v>
      </c>
      <c r="V236" s="4">
        <f t="shared" si="227"/>
        <v>0.148025852766969</v>
      </c>
      <c r="W236" t="str">
        <f t="shared" si="215"/>
        <v>1-0,427949360896086i</v>
      </c>
      <c r="X236" s="4">
        <f t="shared" si="228"/>
        <v>1.08772269236758</v>
      </c>
      <c r="Y236" s="4">
        <f t="shared" si="229"/>
        <v>-0.404366128006122</v>
      </c>
      <c r="Z236" t="str">
        <f t="shared" si="216"/>
        <v>0,999981299039569+0,029548884442825i</v>
      </c>
      <c r="AA236" s="4">
        <f t="shared" si="230"/>
        <v>1.00041778023018</v>
      </c>
      <c r="AB236" s="4">
        <f t="shared" si="231"/>
        <v>0.0295408409956513</v>
      </c>
      <c r="AC236" s="67" t="str">
        <f t="shared" si="232"/>
        <v>-0,7178434977668-3,00764951250002i</v>
      </c>
      <c r="AD236" s="68">
        <f t="shared" si="233"/>
        <v>9.80514895469997</v>
      </c>
      <c r="AE236" s="31">
        <f t="shared" si="234"/>
        <v>-103.423798815744</v>
      </c>
      <c r="AF236" s="32" t="str">
        <f t="shared" si="235"/>
        <v>432,040091031901</v>
      </c>
      <c r="AG236" s="32" t="str">
        <f t="shared" si="217"/>
        <v>1+15,7795319902425i</v>
      </c>
      <c r="AH236" s="32">
        <f t="shared" si="236"/>
        <v>15.8111868571302</v>
      </c>
      <c r="AI236" s="32">
        <f t="shared" si="237"/>
        <v>1.50750772641198</v>
      </c>
      <c r="AJ236" s="32" t="str">
        <f t="shared" si="218"/>
        <v>1+0,149116577307792i</v>
      </c>
      <c r="AK236" s="32">
        <f t="shared" si="238"/>
        <v>1.01105675094328</v>
      </c>
      <c r="AL236" s="32">
        <f t="shared" si="239"/>
        <v>0.148025852766969</v>
      </c>
      <c r="AM236" s="32" t="str">
        <f t="shared" si="219"/>
        <v>1-0,0440226800002681i</v>
      </c>
      <c r="AN236" s="32">
        <f t="shared" si="240"/>
        <v>1.00096852915284</v>
      </c>
      <c r="AO236" s="32">
        <f t="shared" si="241"/>
        <v>-0.0439942744251164</v>
      </c>
      <c r="AP236" s="30" t="str">
        <f t="shared" si="242"/>
        <v>4,60548676557178-27,2676487883385i</v>
      </c>
      <c r="AQ236" s="32">
        <f t="shared" si="243"/>
        <v>28.8351106874765</v>
      </c>
      <c r="AR236" s="31">
        <f t="shared" si="244"/>
        <v>-80.4132599316961</v>
      </c>
      <c r="AS236" t="str">
        <f t="shared" si="220"/>
        <v>-0,000201496259351621</v>
      </c>
      <c r="AT236" t="str">
        <f t="shared" si="221"/>
        <v>0,00213689380874112i</v>
      </c>
      <c r="AU236">
        <f t="shared" si="245"/>
        <v>0.00213689380874112</v>
      </c>
      <c r="AV236">
        <f t="shared" si="246"/>
        <v>1.5707963267949</v>
      </c>
      <c r="AW236" t="str">
        <f t="shared" si="222"/>
        <v>1+0,109405043555989i</v>
      </c>
      <c r="AX236">
        <f t="shared" si="247"/>
        <v>1.005966929653</v>
      </c>
      <c r="AY236">
        <f t="shared" si="248"/>
        <v>0.108971645290398</v>
      </c>
      <c r="AZ236" t="str">
        <f t="shared" si="223"/>
        <v>1+5,23049218872993i</v>
      </c>
      <c r="BA236">
        <f t="shared" si="249"/>
        <v>5.3252275572378</v>
      </c>
      <c r="BB236">
        <f t="shared" si="250"/>
        <v>1.38188937698402</v>
      </c>
      <c r="BC236" s="30" t="str">
        <f t="shared" si="251"/>
        <v>-0,477176234656235+0,146499484186104i</v>
      </c>
      <c r="BD236" s="32">
        <f t="shared" si="252"/>
        <v>-6.03522971501841</v>
      </c>
      <c r="BE236" s="31">
        <f t="shared" si="253"/>
        <v>162.932813693411</v>
      </c>
      <c r="BF236" s="30" t="str">
        <f t="shared" si="254"/>
        <v>0,783156959530663+1,33001516739124i</v>
      </c>
      <c r="BG236" s="68">
        <f t="shared" si="255"/>
        <v>3.76991923968158</v>
      </c>
      <c r="BH236" s="31">
        <f t="shared" si="256"/>
        <v>59.5090148776662</v>
      </c>
      <c r="BI236" s="30" t="str">
        <f t="shared" si="209"/>
        <v>1,79706764890477+13,6861754123302i</v>
      </c>
      <c r="BJ236" s="68">
        <f t="shared" si="257"/>
        <v>22.7998809724581</v>
      </c>
      <c r="BK236" s="31">
        <f t="shared" si="210"/>
        <v>82.5195537617144</v>
      </c>
      <c r="BL236" s="32">
        <f t="shared" si="258"/>
        <v>3.76991923968158</v>
      </c>
      <c r="BM236" s="31">
        <f t="shared" si="259"/>
        <v>59.5090148776662</v>
      </c>
      <c r="BO236">
        <f t="shared" si="260"/>
        <v>0</v>
      </c>
      <c r="BP236">
        <f t="shared" si="261"/>
        <v>0</v>
      </c>
    </row>
    <row r="237" spans="14:68">
      <c r="N237" s="7">
        <v>19</v>
      </c>
      <c r="O237" s="18">
        <f t="shared" si="262"/>
        <v>1548.81661891248</v>
      </c>
      <c r="P237" s="86" t="str">
        <f t="shared" si="212"/>
        <v>54,5454545454545</v>
      </c>
      <c r="Q237" s="4" t="str">
        <f t="shared" si="213"/>
        <v>1+19,8168764405135i</v>
      </c>
      <c r="R237" s="4">
        <f t="shared" si="224"/>
        <v>19.8420914184614</v>
      </c>
      <c r="S237" s="4">
        <f t="shared" si="225"/>
        <v>1.52037705453036</v>
      </c>
      <c r="T237" s="4" t="str">
        <f t="shared" si="214"/>
        <v>1+0,152589948591954i</v>
      </c>
      <c r="U237" s="4">
        <f t="shared" si="226"/>
        <v>1.01157485754209</v>
      </c>
      <c r="V237" s="4">
        <f t="shared" si="227"/>
        <v>0.151421937241584</v>
      </c>
      <c r="W237" t="str">
        <f t="shared" si="215"/>
        <v>1-0,437917582055991i</v>
      </c>
      <c r="X237" s="4">
        <f t="shared" si="228"/>
        <v>1.09168301657293</v>
      </c>
      <c r="Y237" s="4">
        <f t="shared" si="229"/>
        <v>-0.412760882948533</v>
      </c>
      <c r="Z237" t="str">
        <f t="shared" si="216"/>
        <v>0,999980417690457+0,0302371663800565i</v>
      </c>
      <c r="AA237" s="4">
        <f t="shared" si="230"/>
        <v>1.00043746530959</v>
      </c>
      <c r="AB237" s="4">
        <f t="shared" si="231"/>
        <v>0.0302285478745573</v>
      </c>
      <c r="AC237" s="67" t="str">
        <f t="shared" si="232"/>
        <v>-0,724673549698659-2,94661764270587i</v>
      </c>
      <c r="AD237" s="68">
        <f t="shared" si="233"/>
        <v>9.64151504570218</v>
      </c>
      <c r="AE237" s="31">
        <f t="shared" si="234"/>
        <v>-103.816775318549</v>
      </c>
      <c r="AF237" s="32" t="str">
        <f t="shared" si="235"/>
        <v>432,040091031901</v>
      </c>
      <c r="AG237" s="32" t="str">
        <f t="shared" si="217"/>
        <v>1+16,1470845070851i</v>
      </c>
      <c r="AH237" s="32">
        <f t="shared" si="236"/>
        <v>16.1780202150618</v>
      </c>
      <c r="AI237" s="32">
        <f t="shared" si="237"/>
        <v>1.50894463686937</v>
      </c>
      <c r="AJ237" s="32" t="str">
        <f t="shared" si="218"/>
        <v>1+0,152589948591954i</v>
      </c>
      <c r="AK237" s="32">
        <f t="shared" si="238"/>
        <v>1.01157485754209</v>
      </c>
      <c r="AL237" s="32">
        <f t="shared" si="239"/>
        <v>0.151421937241584</v>
      </c>
      <c r="AM237" s="32" t="str">
        <f t="shared" si="219"/>
        <v>1-0,0450480999456924i</v>
      </c>
      <c r="AN237" s="32">
        <f t="shared" si="240"/>
        <v>1.00101415140282</v>
      </c>
      <c r="AO237" s="32">
        <f t="shared" si="241"/>
        <v>-0.0450176644887427</v>
      </c>
      <c r="AP237" s="30" t="str">
        <f t="shared" si="242"/>
        <v>4,52852004338326-26,6600057536684i</v>
      </c>
      <c r="AQ237" s="32">
        <f t="shared" si="243"/>
        <v>28.640738377088</v>
      </c>
      <c r="AR237" s="31">
        <f t="shared" si="244"/>
        <v>-80.3596434606187</v>
      </c>
      <c r="AS237" t="str">
        <f t="shared" si="220"/>
        <v>-0,000201496259351621</v>
      </c>
      <c r="AT237" t="str">
        <f t="shared" si="221"/>
        <v>0,00218666845973291i</v>
      </c>
      <c r="AU237">
        <f t="shared" si="245"/>
        <v>0.00218666845973291</v>
      </c>
      <c r="AV237">
        <f t="shared" si="246"/>
        <v>1.5707963267949</v>
      </c>
      <c r="AW237" t="str">
        <f t="shared" si="222"/>
        <v>1+0,111953414391014i</v>
      </c>
      <c r="AX237">
        <f t="shared" si="247"/>
        <v>1.00624726930999</v>
      </c>
      <c r="AY237">
        <f t="shared" si="248"/>
        <v>0.111489175358183</v>
      </c>
      <c r="AZ237" t="str">
        <f t="shared" si="223"/>
        <v>1+5,35232600290655i</v>
      </c>
      <c r="BA237">
        <f t="shared" si="249"/>
        <v>5.44494202369406</v>
      </c>
      <c r="BB237">
        <f t="shared" si="250"/>
        <v>1.386091199345</v>
      </c>
      <c r="BC237" s="30" t="str">
        <f t="shared" si="251"/>
        <v>-0,476910389884836+0,145539350526674i</v>
      </c>
      <c r="BD237" s="32">
        <f t="shared" si="252"/>
        <v>-6.0445481515236</v>
      </c>
      <c r="BE237" s="31">
        <f t="shared" si="253"/>
        <v>163.029316533277</v>
      </c>
      <c r="BF237" s="30" t="str">
        <f t="shared" si="254"/>
        <v>0,774453163095867+1,29980405105739i</v>
      </c>
      <c r="BG237" s="68">
        <f t="shared" si="255"/>
        <v>3.59696689417857</v>
      </c>
      <c r="BH237" s="31">
        <f t="shared" si="256"/>
        <v>59.2125412147281</v>
      </c>
      <c r="BI237" s="30" t="str">
        <f t="shared" si="209"/>
        <v>1,72038166293509+13,373511604275i</v>
      </c>
      <c r="BJ237" s="68">
        <f t="shared" si="257"/>
        <v>22.5961902255644</v>
      </c>
      <c r="BK237" s="31">
        <f t="shared" si="210"/>
        <v>82.6696730726584</v>
      </c>
      <c r="BL237" s="32">
        <f t="shared" si="258"/>
        <v>3.59696689417857</v>
      </c>
      <c r="BM237" s="31">
        <f t="shared" si="259"/>
        <v>59.2125412147281</v>
      </c>
      <c r="BO237">
        <f t="shared" si="260"/>
        <v>0</v>
      </c>
      <c r="BP237">
        <f t="shared" si="261"/>
        <v>0</v>
      </c>
    </row>
    <row r="238" spans="14:68">
      <c r="N238" s="7">
        <v>20</v>
      </c>
      <c r="O238" s="18">
        <f t="shared" si="262"/>
        <v>1584.89319246112</v>
      </c>
      <c r="P238" s="86" t="str">
        <f t="shared" si="212"/>
        <v>54,5454545454545</v>
      </c>
      <c r="Q238" s="4" t="str">
        <f t="shared" si="213"/>
        <v>1+20,2784707904711i</v>
      </c>
      <c r="R238" s="4">
        <f t="shared" si="224"/>
        <v>20.3031125101544</v>
      </c>
      <c r="S238" s="4">
        <f t="shared" si="225"/>
        <v>1.5215228589994</v>
      </c>
      <c r="T238" s="4" t="str">
        <f t="shared" si="214"/>
        <v>1+0,156144225086628i</v>
      </c>
      <c r="U238" s="4">
        <f t="shared" si="226"/>
        <v>1.01211709748818</v>
      </c>
      <c r="V238" s="4">
        <f t="shared" si="227"/>
        <v>0.154893486196194</v>
      </c>
      <c r="W238" t="str">
        <f t="shared" si="215"/>
        <v>1-0,44811799291443i</v>
      </c>
      <c r="X238" s="4">
        <f t="shared" si="228"/>
        <v>1.09581464471582</v>
      </c>
      <c r="Y238" s="4">
        <f t="shared" si="229"/>
        <v>-0.42128774571718</v>
      </c>
      <c r="Z238" t="str">
        <f t="shared" si="216"/>
        <v>0,999979494804641+0,0309414804631392i</v>
      </c>
      <c r="AA238" s="4">
        <f t="shared" si="230"/>
        <v>1.00045807770391</v>
      </c>
      <c r="AB238" s="4">
        <f t="shared" si="231"/>
        <v>0.0309322457963513</v>
      </c>
      <c r="AC238" s="67" t="str">
        <f t="shared" si="232"/>
        <v>-0,731217500800524-2,88711752709541i</v>
      </c>
      <c r="AD238" s="68">
        <f t="shared" si="233"/>
        <v>9.47929820785006</v>
      </c>
      <c r="AE238" s="31">
        <f t="shared" si="234"/>
        <v>-104.212392145402</v>
      </c>
      <c r="AF238" s="32" t="str">
        <f t="shared" si="235"/>
        <v>432,040091031901</v>
      </c>
      <c r="AG238" s="32" t="str">
        <f t="shared" si="217"/>
        <v>1+16,5231984218654i</v>
      </c>
      <c r="AH238" s="32">
        <f t="shared" si="236"/>
        <v>16.5534312481834</v>
      </c>
      <c r="AI238" s="32">
        <f t="shared" si="237"/>
        <v>1.51034908641064</v>
      </c>
      <c r="AJ238" s="32" t="str">
        <f t="shared" si="218"/>
        <v>1+0,156144225086628i</v>
      </c>
      <c r="AK238" s="32">
        <f t="shared" si="238"/>
        <v>1.01211709748818</v>
      </c>
      <c r="AL238" s="32">
        <f t="shared" si="239"/>
        <v>0.154893486196194</v>
      </c>
      <c r="AM238" s="32" t="str">
        <f t="shared" si="219"/>
        <v>1-0,0460974049899902i</v>
      </c>
      <c r="AN238" s="32">
        <f t="shared" si="240"/>
        <v>1.00106192153473</v>
      </c>
      <c r="AO238" s="32">
        <f t="shared" si="241"/>
        <v>-0.0460647946784428</v>
      </c>
      <c r="AP238" s="30" t="str">
        <f t="shared" si="242"/>
        <v>4,45499151480937-26,0660705945994i</v>
      </c>
      <c r="AQ238" s="32">
        <f t="shared" si="243"/>
        <v>28.4465544570417</v>
      </c>
      <c r="AR238" s="31">
        <f t="shared" si="244"/>
        <v>-80.3012035288713</v>
      </c>
      <c r="AS238" t="str">
        <f t="shared" si="220"/>
        <v>-0,000201496259351621</v>
      </c>
      <c r="AT238" t="str">
        <f t="shared" si="221"/>
        <v>0,00223760251128605i</v>
      </c>
      <c r="AU238">
        <f t="shared" si="245"/>
        <v>0.00223760251128605</v>
      </c>
      <c r="AV238">
        <f t="shared" si="246"/>
        <v>1.5707963267949</v>
      </c>
      <c r="AW238" t="str">
        <f t="shared" si="222"/>
        <v>1+0,114561144408228i</v>
      </c>
      <c r="AX238">
        <f t="shared" si="247"/>
        <v>1.00654073728197</v>
      </c>
      <c r="AY238">
        <f t="shared" si="248"/>
        <v>0.114063877738694</v>
      </c>
      <c r="AZ238" t="str">
        <f t="shared" si="223"/>
        <v>1+5,47699769117636i</v>
      </c>
      <c r="BA238">
        <f t="shared" si="249"/>
        <v>5.56754018478099</v>
      </c>
      <c r="BB238">
        <f t="shared" si="250"/>
        <v>1.39020376121545</v>
      </c>
      <c r="BC238" s="30" t="str">
        <f t="shared" si="251"/>
        <v>-0,476632333534765+0,144653614062453i</v>
      </c>
      <c r="BD238" s="32">
        <f t="shared" si="252"/>
        <v>-6.05367897785809</v>
      </c>
      <c r="BE238" s="31">
        <f t="shared" si="253"/>
        <v>163.117429391535</v>
      </c>
      <c r="BF238" s="30" t="str">
        <f t="shared" si="254"/>
        <v>0,766153888245416+1,27032030997209i</v>
      </c>
      <c r="BG238" s="68">
        <f t="shared" si="255"/>
        <v>3.42561922999195</v>
      </c>
      <c r="BH238" s="31">
        <f t="shared" si="256"/>
        <v>58.9050372461333</v>
      </c>
      <c r="BI238" s="30" t="str">
        <f t="shared" si="209"/>
        <v>1,64715831433467+13,0683626768206i</v>
      </c>
      <c r="BJ238" s="68">
        <f t="shared" si="257"/>
        <v>22.3928754791836</v>
      </c>
      <c r="BK238" s="31">
        <f t="shared" si="210"/>
        <v>82.8162258626636</v>
      </c>
      <c r="BL238" s="32">
        <f t="shared" si="258"/>
        <v>3.42561922999195</v>
      </c>
      <c r="BM238" s="31">
        <f t="shared" si="259"/>
        <v>58.9050372461333</v>
      </c>
      <c r="BO238">
        <f t="shared" si="260"/>
        <v>0</v>
      </c>
      <c r="BP238">
        <f t="shared" si="261"/>
        <v>0</v>
      </c>
    </row>
    <row r="239" spans="14:68">
      <c r="N239" s="7">
        <v>21</v>
      </c>
      <c r="O239" s="18">
        <f t="shared" si="262"/>
        <v>1621.81009735893</v>
      </c>
      <c r="P239" s="86" t="str">
        <f t="shared" si="212"/>
        <v>54,5454545454545</v>
      </c>
      <c r="Q239" s="4" t="str">
        <f t="shared" si="213"/>
        <v>1+20,7508170540589i</v>
      </c>
      <c r="R239" s="4">
        <f t="shared" si="224"/>
        <v>20.7748985174663</v>
      </c>
      <c r="S239" s="4">
        <f t="shared" si="225"/>
        <v>1.5226427069068</v>
      </c>
      <c r="T239" s="4" t="str">
        <f t="shared" si="214"/>
        <v>1+0,159781291316254i</v>
      </c>
      <c r="U239" s="4">
        <f t="shared" si="226"/>
        <v>1.01268458122689</v>
      </c>
      <c r="V239" s="4">
        <f t="shared" si="227"/>
        <v>0.158442005416698</v>
      </c>
      <c r="W239" t="str">
        <f t="shared" si="215"/>
        <v>1-0,45855600186425i</v>
      </c>
      <c r="X239" s="4">
        <f t="shared" si="228"/>
        <v>1.10012435971836</v>
      </c>
      <c r="Y239" s="4">
        <f t="shared" si="229"/>
        <v>-0.429946276594768</v>
      </c>
      <c r="Z239" t="str">
        <f t="shared" si="216"/>
        <v>0,999978528424556+0,031662200128722i</v>
      </c>
      <c r="AA239" s="4">
        <f t="shared" si="230"/>
        <v>1.00047966107619</v>
      </c>
      <c r="AB239" s="4">
        <f t="shared" si="231"/>
        <v>0.0316523052610519</v>
      </c>
      <c r="AC239" s="67" t="str">
        <f t="shared" si="232"/>
        <v>-0,737489029796817-2,82911956657961i</v>
      </c>
      <c r="AD239" s="68">
        <f t="shared" si="233"/>
        <v>9.3185473774622</v>
      </c>
      <c r="AE239" s="31">
        <f t="shared" si="234"/>
        <v>-104.610593173731</v>
      </c>
      <c r="AF239" s="32" t="str">
        <f t="shared" si="235"/>
        <v>432,040091031901</v>
      </c>
      <c r="AG239" s="32" t="str">
        <f t="shared" si="217"/>
        <v>1+16,9080731551591i</v>
      </c>
      <c r="AH239" s="32">
        <f t="shared" si="236"/>
        <v>16.9376190127247</v>
      </c>
      <c r="AI239" s="32">
        <f t="shared" si="237"/>
        <v>1.51172179751906</v>
      </c>
      <c r="AJ239" s="32" t="str">
        <f t="shared" si="218"/>
        <v>1+0,159781291316254i</v>
      </c>
      <c r="AK239" s="32">
        <f t="shared" si="238"/>
        <v>1.01268458122689</v>
      </c>
      <c r="AL239" s="32">
        <f t="shared" si="239"/>
        <v>0.158442005416698</v>
      </c>
      <c r="AM239" s="32" t="str">
        <f t="shared" si="219"/>
        <v>1-0,0471711514885846i</v>
      </c>
      <c r="AN239" s="32">
        <f t="shared" si="240"/>
        <v>1.00111194056047</v>
      </c>
      <c r="AO239" s="32">
        <f t="shared" si="241"/>
        <v>-0.0471362110060045</v>
      </c>
      <c r="AP239" s="30" t="str">
        <f t="shared" si="242"/>
        <v>4,38474870057461-25,4855567340429i</v>
      </c>
      <c r="AQ239" s="32">
        <f t="shared" si="243"/>
        <v>28.2525705616269</v>
      </c>
      <c r="AR239" s="31">
        <f t="shared" si="244"/>
        <v>-80.237926540689</v>
      </c>
      <c r="AS239" t="str">
        <f t="shared" si="220"/>
        <v>-0,000201496259351621</v>
      </c>
      <c r="AT239" t="str">
        <f t="shared" si="221"/>
        <v>0,00228972296930882i</v>
      </c>
      <c r="AU239">
        <f t="shared" si="245"/>
        <v>0.00228972296930882</v>
      </c>
      <c r="AV239">
        <f t="shared" si="246"/>
        <v>1.5707963267949</v>
      </c>
      <c r="AW239" t="str">
        <f t="shared" si="222"/>
        <v>1+0,117229616260603i</v>
      </c>
      <c r="AX239">
        <f t="shared" si="247"/>
        <v>1.00684794429378</v>
      </c>
      <c r="AY239">
        <f t="shared" si="248"/>
        <v>0.116696980955779</v>
      </c>
      <c r="AZ239" t="str">
        <f t="shared" si="223"/>
        <v>1+5,6045733561186i</v>
      </c>
      <c r="BA239">
        <f t="shared" si="249"/>
        <v>5.69308725597233</v>
      </c>
      <c r="BB239">
        <f t="shared" si="250"/>
        <v>1.39422868640602</v>
      </c>
      <c r="BC239" s="30" t="str">
        <f t="shared" si="251"/>
        <v>-0,476341520095937+0,143841612269071i</v>
      </c>
      <c r="BD239" s="32">
        <f t="shared" si="252"/>
        <v>-6.06264000345472</v>
      </c>
      <c r="BE239" s="31">
        <f t="shared" si="253"/>
        <v>163.197174916449</v>
      </c>
      <c r="BF239" s="30" t="str">
        <f t="shared" si="254"/>
        <v>0,75824176526628+1,24154550380096i</v>
      </c>
      <c r="BG239" s="68">
        <f t="shared" si="255"/>
        <v>3.25590737400747</v>
      </c>
      <c r="BH239" s="31">
        <f t="shared" si="256"/>
        <v>58.5865817427177</v>
      </c>
      <c r="BI239" s="30" t="str">
        <f t="shared" si="209"/>
        <v>1,57724570892922+12,7705381576706i</v>
      </c>
      <c r="BJ239" s="68">
        <f t="shared" si="257"/>
        <v>22.1899305581722</v>
      </c>
      <c r="BK239" s="31">
        <f t="shared" si="210"/>
        <v>82.9592483757603</v>
      </c>
      <c r="BL239" s="32">
        <f t="shared" si="258"/>
        <v>3.25590737400747</v>
      </c>
      <c r="BM239" s="31">
        <f t="shared" si="259"/>
        <v>58.5865817427177</v>
      </c>
      <c r="BO239">
        <f t="shared" si="260"/>
        <v>0</v>
      </c>
      <c r="BP239">
        <f t="shared" si="261"/>
        <v>0</v>
      </c>
    </row>
    <row r="240" spans="14:68">
      <c r="N240" s="7">
        <v>22</v>
      </c>
      <c r="O240" s="18">
        <f t="shared" si="262"/>
        <v>1659.58690743756</v>
      </c>
      <c r="P240" s="86" t="str">
        <f t="shared" si="212"/>
        <v>54,5454545454545</v>
      </c>
      <c r="Q240" s="4" t="str">
        <f t="shared" si="213"/>
        <v>1+21,2341656755186i</v>
      </c>
      <c r="R240" s="4">
        <f t="shared" si="224"/>
        <v>21.2576995918037</v>
      </c>
      <c r="S240" s="4">
        <f t="shared" si="225"/>
        <v>1.52373718076952</v>
      </c>
      <c r="T240" s="4" t="str">
        <f t="shared" si="214"/>
        <v>1+0,163503075701493i</v>
      </c>
      <c r="U240" s="4">
        <f t="shared" si="226"/>
        <v>1.01327846901227</v>
      </c>
      <c r="V240" s="4">
        <f t="shared" si="227"/>
        <v>0.162069018728812</v>
      </c>
      <c r="W240" t="str">
        <f t="shared" si="215"/>
        <v>1-0,469237143275969i</v>
      </c>
      <c r="X240" s="4">
        <f t="shared" si="228"/>
        <v>1.10461916361694</v>
      </c>
      <c r="Y240" s="4">
        <f t="shared" si="229"/>
        <v>-0.438735872361822</v>
      </c>
      <c r="Z240" t="str">
        <f t="shared" si="216"/>
        <v>0,999977516500381+0,0323997075119121i</v>
      </c>
      <c r="AA240" s="4">
        <f t="shared" si="230"/>
        <v>1.00050226114344</v>
      </c>
      <c r="AB240" s="4">
        <f t="shared" si="231"/>
        <v>0.0323891052574786</v>
      </c>
      <c r="AC240" s="67" t="str">
        <f t="shared" si="232"/>
        <v>-0,743501254776251-2,77259482359255i</v>
      </c>
      <c r="AD240" s="68">
        <f t="shared" si="233"/>
        <v>9.15931226355046</v>
      </c>
      <c r="AE240" s="31">
        <f t="shared" si="234"/>
        <v>-105.01131162305</v>
      </c>
      <c r="AF240" s="32" t="str">
        <f t="shared" si="235"/>
        <v>432,040091031901</v>
      </c>
      <c r="AG240" s="32" t="str">
        <f t="shared" si="217"/>
        <v>1+17,3019127726447i</v>
      </c>
      <c r="AH240" s="32">
        <f t="shared" si="236"/>
        <v>17.3307872179023</v>
      </c>
      <c r="AI240" s="32">
        <f t="shared" si="237"/>
        <v>1.51306347731933</v>
      </c>
      <c r="AJ240" s="32" t="str">
        <f t="shared" si="218"/>
        <v>1+0,163503075701493i</v>
      </c>
      <c r="AK240" s="32">
        <f t="shared" si="238"/>
        <v>1.01327846901227</v>
      </c>
      <c r="AL240" s="32">
        <f t="shared" si="239"/>
        <v>0.162069018728812</v>
      </c>
      <c r="AM240" s="32" t="str">
        <f t="shared" si="219"/>
        <v>1-0,0482699087560826i</v>
      </c>
      <c r="AN240" s="32">
        <f t="shared" si="240"/>
        <v>1.00116431423184</v>
      </c>
      <c r="AO240" s="32">
        <f t="shared" si="241"/>
        <v>-0.0482324717056382</v>
      </c>
      <c r="AP240" s="30" t="str">
        <f t="shared" si="242"/>
        <v>4,31764578637776-24,9181828420955i</v>
      </c>
      <c r="AQ240" s="32">
        <f t="shared" si="243"/>
        <v>28.0587986870814</v>
      </c>
      <c r="AR240" s="31">
        <f t="shared" si="244"/>
        <v>-80.1697976870157</v>
      </c>
      <c r="AS240" t="str">
        <f t="shared" si="220"/>
        <v>-0,000201496259351621</v>
      </c>
      <c r="AT240" t="str">
        <f t="shared" si="221"/>
        <v>0,002343057468758i</v>
      </c>
      <c r="AU240">
        <f t="shared" si="245"/>
        <v>0.002343057468758</v>
      </c>
      <c r="AV240">
        <f t="shared" si="246"/>
        <v>1.5707963267949</v>
      </c>
      <c r="AW240" t="str">
        <f t="shared" si="222"/>
        <v>1+0,119960244807237i</v>
      </c>
      <c r="AX240">
        <f t="shared" si="247"/>
        <v>1.0071695290934</v>
      </c>
      <c r="AY240">
        <f t="shared" si="248"/>
        <v>0.119389734989446</v>
      </c>
      <c r="AZ240" t="str">
        <f t="shared" si="223"/>
        <v>1+5,73512064003961i</v>
      </c>
      <c r="BA240">
        <f t="shared" si="249"/>
        <v>5.82165000286073</v>
      </c>
      <c r="BB240">
        <f t="shared" si="250"/>
        <v>1.3981675870969</v>
      </c>
      <c r="BC240" s="30" t="str">
        <f t="shared" si="251"/>
        <v>-0,47603738115538+0,14310270854108i</v>
      </c>
      <c r="BD240" s="32">
        <f t="shared" si="252"/>
        <v>-6.07144877277367</v>
      </c>
      <c r="BE240" s="31">
        <f t="shared" si="253"/>
        <v>163.268573860562</v>
      </c>
      <c r="BF240" s="30" t="str">
        <f t="shared" si="254"/>
        <v>0,750700219152497+1,21346173546579i</v>
      </c>
      <c r="BG240" s="68">
        <f t="shared" si="255"/>
        <v>3.08786349077681</v>
      </c>
      <c r="BH240" s="31">
        <f t="shared" si="256"/>
        <v>58.2572622375118</v>
      </c>
      <c r="BI240" s="30" t="str">
        <f t="shared" si="209"/>
        <v>1,5104986637219+12,4798533098537i</v>
      </c>
      <c r="BJ240" s="68">
        <f t="shared" si="257"/>
        <v>21.9873499143077</v>
      </c>
      <c r="BK240" s="31">
        <f t="shared" si="210"/>
        <v>83.0987761735458</v>
      </c>
      <c r="BL240" s="32">
        <f t="shared" si="258"/>
        <v>3.08786349077681</v>
      </c>
      <c r="BM240" s="31">
        <f t="shared" si="259"/>
        <v>58.2572622375118</v>
      </c>
      <c r="BO240">
        <f t="shared" si="260"/>
        <v>0</v>
      </c>
      <c r="BP240">
        <f t="shared" si="261"/>
        <v>0</v>
      </c>
    </row>
    <row r="241" spans="14:68">
      <c r="N241" s="7">
        <v>23</v>
      </c>
      <c r="O241" s="18">
        <f t="shared" si="262"/>
        <v>1698.24365246174</v>
      </c>
      <c r="P241" s="86" t="str">
        <f t="shared" si="212"/>
        <v>54,5454545454545</v>
      </c>
      <c r="Q241" s="4" t="str">
        <f t="shared" si="213"/>
        <v>1+21,7287729326866i</v>
      </c>
      <c r="R241" s="4">
        <f t="shared" si="224"/>
        <v>21.7517717246263</v>
      </c>
      <c r="S241" s="4">
        <f t="shared" si="225"/>
        <v>1.52480685039781</v>
      </c>
      <c r="T241" s="4" t="str">
        <f t="shared" si="214"/>
        <v>1+0,167311551581687i</v>
      </c>
      <c r="U241" s="4">
        <f t="shared" si="226"/>
        <v>1.01389997302134</v>
      </c>
      <c r="V241" s="4">
        <f t="shared" si="227"/>
        <v>0.16577606731541</v>
      </c>
      <c r="W241" t="str">
        <f t="shared" si="215"/>
        <v>1-0,480167080432137i</v>
      </c>
      <c r="X241" s="4">
        <f t="shared" si="228"/>
        <v>1.10930628102915</v>
      </c>
      <c r="Y241" s="4">
        <f t="shared" si="229"/>
        <v>-0.447655759894949</v>
      </c>
      <c r="Z241" t="str">
        <f t="shared" si="216"/>
        <v>0,999976456885689+0,0331543936488857i</v>
      </c>
      <c r="AA241" s="4">
        <f t="shared" si="230"/>
        <v>1.00052592577298</v>
      </c>
      <c r="AB241" s="4">
        <f t="shared" si="231"/>
        <v>0.0331430334509133</v>
      </c>
      <c r="AC241" s="67" t="str">
        <f t="shared" si="232"/>
        <v>-0,749266759467794-2,7175150152214i</v>
      </c>
      <c r="AD241" s="68">
        <f t="shared" si="233"/>
        <v>9.00164330514861</v>
      </c>
      <c r="AE241" s="31">
        <f t="shared" si="234"/>
        <v>-105.414469752681</v>
      </c>
      <c r="AF241" s="32" t="str">
        <f t="shared" si="235"/>
        <v>432,040091031901</v>
      </c>
      <c r="AG241" s="32" t="str">
        <f t="shared" si="217"/>
        <v>1+17,7049260933002i</v>
      </c>
      <c r="AH241" s="32">
        <f t="shared" si="236"/>
        <v>17.7331443339646</v>
      </c>
      <c r="AI241" s="32">
        <f t="shared" si="237"/>
        <v>1.51437481785561</v>
      </c>
      <c r="AJ241" s="32" t="str">
        <f t="shared" si="218"/>
        <v>1+0,167311551581687i</v>
      </c>
      <c r="AK241" s="32">
        <f t="shared" si="238"/>
        <v>1.01389997302134</v>
      </c>
      <c r="AL241" s="32">
        <f t="shared" si="239"/>
        <v>0.16577606731541</v>
      </c>
      <c r="AM241" s="32" t="str">
        <f t="shared" si="219"/>
        <v>1-0,0493942593681306i</v>
      </c>
      <c r="AN241" s="32">
        <f t="shared" si="240"/>
        <v>1.00121915326193</v>
      </c>
      <c r="AO241" s="32">
        <f t="shared" si="241"/>
        <v>-0.0493541474835058</v>
      </c>
      <c r="AP241" s="30" t="str">
        <f t="shared" si="242"/>
        <v>4,25354334011561-24,363672809216i</v>
      </c>
      <c r="AQ241" s="32">
        <f t="shared" si="243"/>
        <v>27.8652512110494</v>
      </c>
      <c r="AR241" s="31">
        <f t="shared" si="244"/>
        <v>-80.096801014841</v>
      </c>
      <c r="AS241" t="str">
        <f t="shared" si="220"/>
        <v>-0,000201496259351621</v>
      </c>
      <c r="AT241" t="str">
        <f t="shared" si="221"/>
        <v>0,00239763428829114i</v>
      </c>
      <c r="AU241">
        <f t="shared" si="245"/>
        <v>0.00239763428829114</v>
      </c>
      <c r="AV241">
        <f t="shared" si="246"/>
        <v>1.5707963267949</v>
      </c>
      <c r="AW241" t="str">
        <f t="shared" si="222"/>
        <v>1+0,122754477863529i</v>
      </c>
      <c r="AX241">
        <f t="shared" si="247"/>
        <v>1.00750615970105</v>
      </c>
      <c r="AY241">
        <f t="shared" si="248"/>
        <v>0.122143411289811</v>
      </c>
      <c r="AZ241" t="str">
        <f t="shared" si="223"/>
        <v>1+5,86870876083722i</v>
      </c>
      <c r="BA241">
        <f t="shared" si="249"/>
        <v>5.95329677737701</v>
      </c>
      <c r="BB241">
        <f t="shared" si="250"/>
        <v>1.40202206260802</v>
      </c>
      <c r="BC241" s="30" t="str">
        <f t="shared" si="251"/>
        <v>-0,475719324575828+0,142436290985284i</v>
      </c>
      <c r="BD241" s="32">
        <f t="shared" si="252"/>
        <v>-6.08012259126059</v>
      </c>
      <c r="BE241" s="31">
        <f t="shared" si="253"/>
        <v>163.331645009429</v>
      </c>
      <c r="BF241" s="30" t="str">
        <f t="shared" si="254"/>
        <v>0,743513436206092+1,18605162938864i</v>
      </c>
      <c r="BG241" s="68">
        <f t="shared" si="255"/>
        <v>2.92152071388803</v>
      </c>
      <c r="BH241" s="31">
        <f t="shared" si="256"/>
        <v>57.9171752567481</v>
      </c>
      <c r="BI241" s="30" t="str">
        <f t="shared" si="209"/>
        <v>1,44677842490993+12,1961289098979i</v>
      </c>
      <c r="BJ241" s="68">
        <f t="shared" si="257"/>
        <v>21.7851286197888</v>
      </c>
      <c r="BK241" s="31">
        <f t="shared" si="210"/>
        <v>83.2348439945883</v>
      </c>
      <c r="BL241" s="32">
        <f t="shared" si="258"/>
        <v>2.92152071388803</v>
      </c>
      <c r="BM241" s="31">
        <f t="shared" si="259"/>
        <v>57.9171752567481</v>
      </c>
      <c r="BO241">
        <f t="shared" si="260"/>
        <v>0</v>
      </c>
      <c r="BP241">
        <f t="shared" si="261"/>
        <v>0</v>
      </c>
    </row>
    <row r="242" spans="14:68">
      <c r="N242" s="7">
        <v>24</v>
      </c>
      <c r="O242" s="18">
        <f t="shared" si="262"/>
        <v>1737.80082874938</v>
      </c>
      <c r="P242" s="86" t="str">
        <f t="shared" si="212"/>
        <v>54,5454545454545</v>
      </c>
      <c r="Q242" s="4" t="str">
        <f t="shared" si="213"/>
        <v>1+22,234901072878i</v>
      </c>
      <c r="R242" s="4">
        <f t="shared" si="224"/>
        <v>22.257376883197</v>
      </c>
      <c r="S242" s="4">
        <f t="shared" si="225"/>
        <v>1.52585227314781</v>
      </c>
      <c r="T242" s="4" t="str">
        <f t="shared" si="214"/>
        <v>1+0,171208738261161i</v>
      </c>
      <c r="U242" s="4">
        <f t="shared" si="226"/>
        <v>1.01455035954702</v>
      </c>
      <c r="V242" s="4">
        <f t="shared" si="227"/>
        <v>0.169564708952315</v>
      </c>
      <c r="W242" t="str">
        <f t="shared" si="215"/>
        <v>1-0,491351608530117i</v>
      </c>
      <c r="X242" s="4">
        <f t="shared" si="228"/>
        <v>1.11419316242972</v>
      </c>
      <c r="Y242" s="4">
        <f t="shared" si="229"/>
        <v>-0.456704989991011</v>
      </c>
      <c r="Z242" t="str">
        <f t="shared" si="216"/>
        <v>0,999975347332895+0,0339266586842224i</v>
      </c>
      <c r="AA242" s="4">
        <f t="shared" si="230"/>
        <v>1.00055070508347</v>
      </c>
      <c r="AB242" s="4">
        <f t="shared" si="231"/>
        <v>0.0339144863744212</v>
      </c>
      <c r="AC242" s="67" t="str">
        <f t="shared" si="232"/>
        <v>-0,754797618513865-2,66385250609972i</v>
      </c>
      <c r="AD242" s="68">
        <f t="shared" si="233"/>
        <v>8.84559162390616</v>
      </c>
      <c r="AE242" s="31">
        <f t="shared" si="234"/>
        <v>-105.819978577138</v>
      </c>
      <c r="AF242" s="32" t="str">
        <f t="shared" si="235"/>
        <v>432,040091031901</v>
      </c>
      <c r="AG242" s="32" t="str">
        <f t="shared" si="217"/>
        <v>1+18,1173268001228i</v>
      </c>
      <c r="AH242" s="32">
        <f t="shared" si="236"/>
        <v>18.1449037027604</v>
      </c>
      <c r="AI242" s="32">
        <f t="shared" si="237"/>
        <v>1.51565649636781</v>
      </c>
      <c r="AJ242" s="32" t="str">
        <f t="shared" si="218"/>
        <v>1+0,171208738261161i</v>
      </c>
      <c r="AK242" s="32">
        <f t="shared" si="238"/>
        <v>1.01455035954702</v>
      </c>
      <c r="AL242" s="32">
        <f t="shared" si="239"/>
        <v>0.169564708952315</v>
      </c>
      <c r="AM242" s="32" t="str">
        <f t="shared" si="219"/>
        <v>1-0,0505447994703062i</v>
      </c>
      <c r="AN242" s="32">
        <f t="shared" si="240"/>
        <v>1.00127657355672</v>
      </c>
      <c r="AO242" s="32">
        <f t="shared" si="241"/>
        <v>-0.0505018217705876</v>
      </c>
      <c r="AP242" s="30" t="str">
        <f t="shared" si="242"/>
        <v>4,19230804034586-23,8217557142598i</v>
      </c>
      <c r="AQ242" s="32">
        <f t="shared" si="243"/>
        <v>27.6719409123407</v>
      </c>
      <c r="AR242" s="31">
        <f t="shared" si="244"/>
        <v>-80.0189195013055</v>
      </c>
      <c r="AS242" t="str">
        <f t="shared" si="220"/>
        <v>-0,000201496259351621</v>
      </c>
      <c r="AT242" t="str">
        <f t="shared" si="221"/>
        <v>0,00245348236526039i</v>
      </c>
      <c r="AU242">
        <f t="shared" si="245"/>
        <v>0.00245348236526039</v>
      </c>
      <c r="AV242">
        <f t="shared" si="246"/>
        <v>1.5707963267949</v>
      </c>
      <c r="AW242" t="str">
        <f t="shared" si="222"/>
        <v>1+0,125613796968833i</v>
      </c>
      <c r="AX242">
        <f t="shared" si="247"/>
        <v>1.00785853471057</v>
      </c>
      <c r="AY242">
        <f t="shared" si="248"/>
        <v>0.124959302759731</v>
      </c>
      <c r="AZ242" t="str">
        <f t="shared" si="223"/>
        <v>1+6,00540854870142i</v>
      </c>
      <c r="BA242">
        <f t="shared" si="249"/>
        <v>6.08809755480446</v>
      </c>
      <c r="BB242">
        <f t="shared" si="250"/>
        <v>1.40579369827723</v>
      </c>
      <c r="BC242" s="30" t="str">
        <f t="shared" si="251"/>
        <v>-0,475386733658652+0,141841771173536i</v>
      </c>
      <c r="BD242" s="32">
        <f t="shared" si="252"/>
        <v>-6.08867855138897</v>
      </c>
      <c r="BE242" s="31">
        <f t="shared" si="253"/>
        <v>163.386405118343</v>
      </c>
      <c r="BF242" s="30" t="str">
        <f t="shared" si="254"/>
        <v>0,736666332048882+1,15929831073559i</v>
      </c>
      <c r="BG242" s="68">
        <f t="shared" si="255"/>
        <v>2.75691307251721</v>
      </c>
      <c r="BH242" s="31">
        <f t="shared" si="256"/>
        <v>57.5664265412047</v>
      </c>
      <c r="BI242" s="30" t="str">
        <f t="shared" ref="BI242:BI305" si="263">IMPRODUCT(AP242,BC242)</f>
        <v>1,38595239718299+11,919191036764i</v>
      </c>
      <c r="BJ242" s="68">
        <f t="shared" si="257"/>
        <v>21.5832623609517</v>
      </c>
      <c r="BK242" s="31">
        <f t="shared" ref="BK242:BK305" si="264">(180/PI())*IMARGUMENT(BI242)</f>
        <v>83.3674856170373</v>
      </c>
      <c r="BL242" s="32">
        <f t="shared" si="258"/>
        <v>2.75691307251721</v>
      </c>
      <c r="BM242" s="31">
        <f t="shared" si="259"/>
        <v>57.5664265412047</v>
      </c>
      <c r="BO242">
        <f t="shared" si="260"/>
        <v>0</v>
      </c>
      <c r="BP242">
        <f t="shared" si="261"/>
        <v>0</v>
      </c>
    </row>
    <row r="243" spans="14:68">
      <c r="N243" s="7">
        <v>25</v>
      </c>
      <c r="O243" s="18">
        <f t="shared" si="262"/>
        <v>1778.27941003892</v>
      </c>
      <c r="P243" s="86" t="str">
        <f t="shared" si="212"/>
        <v>54,5454545454545</v>
      </c>
      <c r="Q243" s="4" t="str">
        <f t="shared" si="213"/>
        <v>1+22,7528184519318i</v>
      </c>
      <c r="R243" s="4">
        <f t="shared" si="224"/>
        <v>22.774783149496</v>
      </c>
      <c r="S243" s="4">
        <f t="shared" si="225"/>
        <v>1.5268739941709</v>
      </c>
      <c r="T243" s="4" t="str">
        <f t="shared" si="214"/>
        <v>1+0,175196702079875i</v>
      </c>
      <c r="U243" s="4">
        <f t="shared" si="226"/>
        <v>1.01523095127151</v>
      </c>
      <c r="V243" s="4">
        <f t="shared" si="227"/>
        <v>0.173436517157383</v>
      </c>
      <c r="W243" t="str">
        <f t="shared" si="215"/>
        <v>1-0,502796657754743i</v>
      </c>
      <c r="X243" s="4">
        <f t="shared" si="228"/>
        <v>1.11928748722093</v>
      </c>
      <c r="Y243" s="4">
        <f t="shared" si="229"/>
        <v>-0.465882431466444</v>
      </c>
      <c r="Z243" t="str">
        <f t="shared" si="216"/>
        <v>0,999974185488488+0,0347169120830656i</v>
      </c>
      <c r="AA243" s="4">
        <f t="shared" si="230"/>
        <v>1.00057665155047</v>
      </c>
      <c r="AB243" s="4">
        <f t="shared" si="231"/>
        <v>0.0347038696238589</v>
      </c>
      <c r="AC243" s="67" t="str">
        <f t="shared" si="232"/>
        <v>-0,760105421782495-2,61158030109671i</v>
      </c>
      <c r="AD243" s="68">
        <f t="shared" si="233"/>
        <v>8.69120897192287</v>
      </c>
      <c r="AE243" s="31">
        <f t="shared" si="234"/>
        <v>-106.227737602248</v>
      </c>
      <c r="AF243" s="32" t="str">
        <f t="shared" si="235"/>
        <v>432,040091031901</v>
      </c>
      <c r="AG243" s="32" t="str">
        <f t="shared" si="217"/>
        <v>1+18,5393335534259i</v>
      </c>
      <c r="AH243" s="32">
        <f t="shared" si="236"/>
        <v>18.5662836508867</v>
      </c>
      <c r="AI243" s="32">
        <f t="shared" si="237"/>
        <v>1.51690917556598</v>
      </c>
      <c r="AJ243" s="32" t="str">
        <f t="shared" si="218"/>
        <v>1+0,175196702079875i</v>
      </c>
      <c r="AK243" s="32">
        <f t="shared" si="238"/>
        <v>1.01523095127151</v>
      </c>
      <c r="AL243" s="32">
        <f t="shared" si="239"/>
        <v>0.173436517157383</v>
      </c>
      <c r="AM243" s="32" t="str">
        <f t="shared" si="219"/>
        <v>1-0,0517221390942001i</v>
      </c>
      <c r="AN243" s="32">
        <f t="shared" si="240"/>
        <v>1.00133669645753</v>
      </c>
      <c r="AO243" s="32">
        <f t="shared" si="241"/>
        <v>-0.0516760909787821</v>
      </c>
      <c r="AP243" s="30" t="str">
        <f t="shared" si="242"/>
        <v>4,13381241561154-23,2921657878603i</v>
      </c>
      <c r="AQ243" s="32">
        <f t="shared" si="243"/>
        <v>27.4788809909859</v>
      </c>
      <c r="AR243" s="31">
        <f t="shared" si="244"/>
        <v>-79.9361351328519</v>
      </c>
      <c r="AS243" t="str">
        <f t="shared" si="220"/>
        <v>-0,000201496259351621</v>
      </c>
      <c r="AT243" t="str">
        <f t="shared" si="221"/>
        <v>0,00251063131105535i</v>
      </c>
      <c r="AU243">
        <f t="shared" si="245"/>
        <v>0.00251063131105535</v>
      </c>
      <c r="AV243">
        <f t="shared" si="246"/>
        <v>1.5707963267949</v>
      </c>
      <c r="AW243" t="str">
        <f t="shared" si="222"/>
        <v>1+0,128539718171983i</v>
      </c>
      <c r="AX243">
        <f t="shared" si="247"/>
        <v>1.00822738464482</v>
      </c>
      <c r="AY243">
        <f t="shared" si="248"/>
        <v>0.127838723703459</v>
      </c>
      <c r="AZ243" t="str">
        <f t="shared" si="223"/>
        <v>1+6,14529248366907i</v>
      </c>
      <c r="BA243">
        <f t="shared" si="249"/>
        <v>6.22612397160863</v>
      </c>
      <c r="BB243">
        <f t="shared" si="250"/>
        <v>1.4094840644404</v>
      </c>
      <c r="BC243" s="30" t="str">
        <f t="shared" si="251"/>
        <v>-0,47503896629235+0,141318582851489i</v>
      </c>
      <c r="BD243" s="32">
        <f t="shared" si="252"/>
        <v>-6.09713355876942</v>
      </c>
      <c r="BE243" s="31">
        <f t="shared" si="253"/>
        <v>163.432868856833</v>
      </c>
      <c r="BF243" s="30" t="str">
        <f t="shared" si="254"/>
        <v>0,730144520990619+1,13318538559841i</v>
      </c>
      <c r="BG243" s="68">
        <f t="shared" si="255"/>
        <v>2.59407541315345</v>
      </c>
      <c r="BH243" s="31">
        <f t="shared" si="256"/>
        <v>57.2051312545849</v>
      </c>
      <c r="BI243" s="30" t="str">
        <f t="shared" si="263"/>
        <v>1,32789388392376+11,6488708709233i</v>
      </c>
      <c r="BJ243" s="68">
        <f t="shared" si="257"/>
        <v>21.3817474322165</v>
      </c>
      <c r="BK243" s="31">
        <f t="shared" si="264"/>
        <v>83.496733723981</v>
      </c>
      <c r="BL243" s="32">
        <f t="shared" si="258"/>
        <v>2.59407541315345</v>
      </c>
      <c r="BM243" s="31">
        <f t="shared" si="259"/>
        <v>57.2051312545849</v>
      </c>
      <c r="BO243">
        <f t="shared" si="260"/>
        <v>0</v>
      </c>
      <c r="BP243">
        <f t="shared" si="261"/>
        <v>0</v>
      </c>
    </row>
    <row r="244" spans="14:68">
      <c r="N244" s="7">
        <v>26</v>
      </c>
      <c r="O244" s="18">
        <f t="shared" si="262"/>
        <v>1819.70085860998</v>
      </c>
      <c r="P244" s="86" t="str">
        <f t="shared" si="212"/>
        <v>54,5454545454545</v>
      </c>
      <c r="Q244" s="4" t="str">
        <f t="shared" si="213"/>
        <v>1+23,282799676498i</v>
      </c>
      <c r="R244" s="4">
        <f t="shared" si="224"/>
        <v>23.3042648623795</v>
      </c>
      <c r="S244" s="4">
        <f t="shared" si="225"/>
        <v>1.52787254665951</v>
      </c>
      <c r="T244" s="4" t="str">
        <f t="shared" si="214"/>
        <v>1+0,179277557509035i</v>
      </c>
      <c r="U244" s="4">
        <f t="shared" si="226"/>
        <v>1.01594312962213</v>
      </c>
      <c r="V244" s="4">
        <f t="shared" si="227"/>
        <v>0.177393080247567</v>
      </c>
      <c r="W244" t="str">
        <f t="shared" si="215"/>
        <v>1-0,514508296422614i</v>
      </c>
      <c r="X244" s="4">
        <f t="shared" si="228"/>
        <v>1.12459716658353</v>
      </c>
      <c r="Y244" s="4">
        <f t="shared" si="229"/>
        <v>-0.475186765583155</v>
      </c>
      <c r="Z244" t="str">
        <f t="shared" si="216"/>
        <v>0,999972968888042+0,0355255728482281i</v>
      </c>
      <c r="AA244" s="4">
        <f t="shared" si="230"/>
        <v>1.00060382011711</v>
      </c>
      <c r="AB244" s="4">
        <f t="shared" si="231"/>
        <v>0.0355115980566077</v>
      </c>
      <c r="AC244" s="67" t="str">
        <f t="shared" si="232"/>
        <v>-0,765201297759321-2,56067203783111i</v>
      </c>
      <c r="AD244" s="68">
        <f t="shared" si="233"/>
        <v>8.53854767482912</v>
      </c>
      <c r="AE244" s="31">
        <f t="shared" si="234"/>
        <v>-106.637634585279</v>
      </c>
      <c r="AF244" s="32" t="str">
        <f t="shared" si="235"/>
        <v>432,040091031901</v>
      </c>
      <c r="AG244" s="32" t="str">
        <f t="shared" si="217"/>
        <v>1+18,9711701067762i</v>
      </c>
      <c r="AH244" s="32">
        <f t="shared" si="236"/>
        <v>18.9975076054792</v>
      </c>
      <c r="AI244" s="32">
        <f t="shared" si="237"/>
        <v>1.51813350390263</v>
      </c>
      <c r="AJ244" s="32" t="str">
        <f t="shared" si="218"/>
        <v>1+0,179277557509035i</v>
      </c>
      <c r="AK244" s="32">
        <f t="shared" si="238"/>
        <v>1.01594312962213</v>
      </c>
      <c r="AL244" s="32">
        <f t="shared" si="239"/>
        <v>0.177393080247567</v>
      </c>
      <c r="AM244" s="32" t="str">
        <f t="shared" si="219"/>
        <v>1-0,0529269024808654i</v>
      </c>
      <c r="AN244" s="32">
        <f t="shared" si="240"/>
        <v>1.00139964899446</v>
      </c>
      <c r="AO244" s="32">
        <f t="shared" si="241"/>
        <v>-0.0528775647601397</v>
      </c>
      <c r="AP244" s="30" t="str">
        <f t="shared" si="242"/>
        <v>4,0779345942547-22,7746423716026i</v>
      </c>
      <c r="AQ244" s="32">
        <f t="shared" si="243"/>
        <v>27.2860850885842</v>
      </c>
      <c r="AR244" s="31">
        <f t="shared" si="244"/>
        <v>-79.8484289897031</v>
      </c>
      <c r="AS244" t="str">
        <f t="shared" si="220"/>
        <v>-0,000201496259351621</v>
      </c>
      <c r="AT244" t="str">
        <f t="shared" si="221"/>
        <v>0,00256911142680358i</v>
      </c>
      <c r="AU244">
        <f t="shared" si="245"/>
        <v>0.00256911142680358</v>
      </c>
      <c r="AV244">
        <f t="shared" si="246"/>
        <v>1.5707963267949</v>
      </c>
      <c r="AW244" t="str">
        <f t="shared" si="222"/>
        <v>1+0,131533792835134i</v>
      </c>
      <c r="AX244">
        <f t="shared" si="247"/>
        <v>1.00861347336708</v>
      </c>
      <c r="AY244">
        <f t="shared" si="248"/>
        <v>0.13078300973857</v>
      </c>
      <c r="AZ244" t="str">
        <f t="shared" si="223"/>
        <v>1+6,28843473405416i</v>
      </c>
      <c r="BA244">
        <f t="shared" si="249"/>
        <v>6.36744936410638</v>
      </c>
      <c r="BB244">
        <f t="shared" si="250"/>
        <v>1.41309471550798</v>
      </c>
      <c r="BC244" s="30" t="str">
        <f t="shared" si="251"/>
        <v>-0,474675354088077+0,140866180599637i</v>
      </c>
      <c r="BD244" s="32">
        <f t="shared" si="252"/>
        <v>-6.1055043583108</v>
      </c>
      <c r="BE244" s="31">
        <f t="shared" si="253"/>
        <v>163.471048760809</v>
      </c>
      <c r="BF244" s="30" t="str">
        <f t="shared" si="254"/>
        <v>0,723934286700119+1,10769692205568i</v>
      </c>
      <c r="BG244" s="68">
        <f t="shared" si="255"/>
        <v>2.43304331651833</v>
      </c>
      <c r="BH244" s="31">
        <f t="shared" si="256"/>
        <v>56.8334141755294</v>
      </c>
      <c r="BI244" s="30" t="str">
        <f t="shared" si="263"/>
        <v>1,27248183793445+11,3850045029976i</v>
      </c>
      <c r="BJ244" s="68">
        <f t="shared" si="257"/>
        <v>21.1805807302734</v>
      </c>
      <c r="BK244" s="31">
        <f t="shared" si="264"/>
        <v>83.6226197711058</v>
      </c>
      <c r="BL244" s="32">
        <f t="shared" si="258"/>
        <v>2.43304331651833</v>
      </c>
      <c r="BM244" s="31">
        <f t="shared" si="259"/>
        <v>56.8334141755294</v>
      </c>
      <c r="BO244">
        <f t="shared" si="260"/>
        <v>0</v>
      </c>
      <c r="BP244">
        <f t="shared" si="261"/>
        <v>0</v>
      </c>
    </row>
    <row r="245" spans="14:68">
      <c r="N245" s="7">
        <v>27</v>
      </c>
      <c r="O245" s="18">
        <f t="shared" si="262"/>
        <v>1862.08713666287</v>
      </c>
      <c r="P245" s="86" t="str">
        <f t="shared" si="212"/>
        <v>54,5454545454545</v>
      </c>
      <c r="Q245" s="4" t="str">
        <f t="shared" si="213"/>
        <v>1+23,8251257496372i</v>
      </c>
      <c r="R245" s="4">
        <f t="shared" si="224"/>
        <v>23.8461027630518</v>
      </c>
      <c r="S245" s="4">
        <f t="shared" si="225"/>
        <v>1.52884845208955</v>
      </c>
      <c r="T245" s="4" t="str">
        <f t="shared" si="214"/>
        <v>1+0,183453468272207i</v>
      </c>
      <c r="U245" s="4">
        <f t="shared" si="226"/>
        <v>1.01668833721111</v>
      </c>
      <c r="V245" s="4">
        <f t="shared" si="227"/>
        <v>0.181436000298442</v>
      </c>
      <c r="W245" t="str">
        <f t="shared" si="215"/>
        <v>1-0,526492734199574i</v>
      </c>
      <c r="X245" s="4">
        <f t="shared" si="228"/>
        <v>1.13013034609506</v>
      </c>
      <c r="Y245" s="4">
        <f t="shared" si="229"/>
        <v>-0.484616480853932</v>
      </c>
      <c r="Z245" t="str">
        <f t="shared" si="216"/>
        <v>0,999971694950983+0,0363530697423515i</v>
      </c>
      <c r="AA245" s="4">
        <f t="shared" si="230"/>
        <v>1.00063226830981</v>
      </c>
      <c r="AB245" s="4">
        <f t="shared" si="231"/>
        <v>0.0363380959940539</v>
      </c>
      <c r="AC245" s="67" t="str">
        <f t="shared" si="232"/>
        <v>-0,770095936059123-2,51110197903693i</v>
      </c>
      <c r="AD245" s="68">
        <f t="shared" si="233"/>
        <v>8.38766057015602</v>
      </c>
      <c r="AE245" s="31">
        <f t="shared" si="234"/>
        <v>-107.049545322418</v>
      </c>
      <c r="AF245" s="32" t="str">
        <f t="shared" si="235"/>
        <v>432,040091031901</v>
      </c>
      <c r="AG245" s="32" t="str">
        <f t="shared" si="217"/>
        <v>1+19,4130654256303i</v>
      </c>
      <c r="AH245" s="32">
        <f t="shared" si="236"/>
        <v>19.4388042127031</v>
      </c>
      <c r="AI245" s="32">
        <f t="shared" si="237"/>
        <v>1.51933011584258</v>
      </c>
      <c r="AJ245" s="32" t="str">
        <f t="shared" si="218"/>
        <v>1+0,183453468272207i</v>
      </c>
      <c r="AK245" s="32">
        <f t="shared" si="238"/>
        <v>1.01668833721111</v>
      </c>
      <c r="AL245" s="32">
        <f t="shared" si="239"/>
        <v>0.181436000298442</v>
      </c>
      <c r="AM245" s="32" t="str">
        <f t="shared" si="219"/>
        <v>1-0,0541597284117969i</v>
      </c>
      <c r="AN245" s="32">
        <f t="shared" si="240"/>
        <v>1.00146556415168</v>
      </c>
      <c r="AO245" s="32">
        <f t="shared" si="241"/>
        <v>-0.0541068662690954</v>
      </c>
      <c r="AP245" s="30" t="str">
        <f t="shared" si="242"/>
        <v>4,02455806435433-22,2689298734121i</v>
      </c>
      <c r="AQ245" s="32">
        <f t="shared" si="243"/>
        <v>27.0935673089324</v>
      </c>
      <c r="AR245" s="31">
        <f t="shared" si="244"/>
        <v>-79.7557813359653</v>
      </c>
      <c r="AS245" t="str">
        <f t="shared" si="220"/>
        <v>-0,000201496259351621</v>
      </c>
      <c r="AT245" t="str">
        <f t="shared" si="221"/>
        <v>0,00262895371943653i</v>
      </c>
      <c r="AU245">
        <f t="shared" si="245"/>
        <v>0.00262895371943653</v>
      </c>
      <c r="AV245">
        <f t="shared" si="246"/>
        <v>1.5707963267949</v>
      </c>
      <c r="AW245" t="str">
        <f t="shared" si="222"/>
        <v>1+0,134597608456302i</v>
      </c>
      <c r="AX245">
        <f t="shared" si="247"/>
        <v>1.00901759955025</v>
      </c>
      <c r="AY245">
        <f t="shared" si="248"/>
        <v>0.133793517668151</v>
      </c>
      <c r="AZ245" t="str">
        <f t="shared" si="223"/>
        <v>1+6,43491119577256i</v>
      </c>
      <c r="BA245">
        <f t="shared" si="249"/>
        <v>6.51214880799564</v>
      </c>
      <c r="BB245">
        <f t="shared" si="250"/>
        <v>1.41662718913249</v>
      </c>
      <c r="BC245" s="30" t="str">
        <f t="shared" si="251"/>
        <v>-0,474295201503849+0,140484038442898i</v>
      </c>
      <c r="BD245" s="32">
        <f t="shared" si="252"/>
        <v>-6.1138075604218</v>
      </c>
      <c r="BE245" s="31">
        <f t="shared" si="253"/>
        <v>163.500955192178</v>
      </c>
      <c r="BF245" s="30" t="str">
        <f t="shared" si="254"/>
        <v>0,718022554127518+1,08281743205799i</v>
      </c>
      <c r="BG245" s="68">
        <f t="shared" si="255"/>
        <v>2.27385300973424</v>
      </c>
      <c r="BH245" s="31">
        <f t="shared" si="256"/>
        <v>56.4514098697602</v>
      </c>
      <c r="BI245" s="30" t="str">
        <f t="shared" si="263"/>
        <v>1,21960062232175+11,1274327514135i</v>
      </c>
      <c r="BJ245" s="68">
        <f t="shared" si="257"/>
        <v>20.9797597485106</v>
      </c>
      <c r="BK245" s="31">
        <f t="shared" si="264"/>
        <v>83.7451738562132</v>
      </c>
      <c r="BL245" s="32">
        <f t="shared" si="258"/>
        <v>2.27385300973424</v>
      </c>
      <c r="BM245" s="31">
        <f t="shared" si="259"/>
        <v>56.4514098697602</v>
      </c>
      <c r="BO245">
        <f t="shared" si="260"/>
        <v>0</v>
      </c>
      <c r="BP245">
        <f t="shared" si="261"/>
        <v>0</v>
      </c>
    </row>
    <row r="246" spans="14:68">
      <c r="N246" s="7">
        <v>28</v>
      </c>
      <c r="O246" s="18">
        <f t="shared" si="262"/>
        <v>1905.46071796325</v>
      </c>
      <c r="P246" s="86" t="str">
        <f t="shared" si="212"/>
        <v>54,5454545454545</v>
      </c>
      <c r="Q246" s="4" t="str">
        <f t="shared" si="213"/>
        <v>1+24,3800842198115i</v>
      </c>
      <c r="R246" s="4">
        <f t="shared" si="224"/>
        <v>24.4005841439319</v>
      </c>
      <c r="S246" s="4">
        <f t="shared" si="225"/>
        <v>1.52980222045921</v>
      </c>
      <c r="T246" s="4" t="str">
        <f t="shared" si="214"/>
        <v>1+0,187726648492549i</v>
      </c>
      <c r="U246" s="4">
        <f t="shared" si="226"/>
        <v>1.01746808036137</v>
      </c>
      <c r="V246" s="4">
        <f t="shared" si="227"/>
        <v>0.185566892000477</v>
      </c>
      <c r="W246" t="str">
        <f t="shared" si="215"/>
        <v>1-0,538756325393158i</v>
      </c>
      <c r="X246" s="4">
        <f t="shared" si="228"/>
        <v>1.13589540810373</v>
      </c>
      <c r="Y246" s="4">
        <f t="shared" si="229"/>
        <v>-0.494169868281699</v>
      </c>
      <c r="Z246" t="str">
        <f t="shared" si="216"/>
        <v>0,999970360975121+0,0371998415152418i</v>
      </c>
      <c r="AA246" s="4">
        <f t="shared" si="230"/>
        <v>1.00066205635943</v>
      </c>
      <c r="AB246" s="4">
        <f t="shared" si="231"/>
        <v>0.037183797427848</v>
      </c>
      <c r="AC246" s="67" t="str">
        <f t="shared" si="232"/>
        <v>-0,774799609095575-2,46284500480571i</v>
      </c>
      <c r="AD246" s="68">
        <f t="shared" si="233"/>
        <v>8.2386009410779</v>
      </c>
      <c r="AE246" s="31">
        <f t="shared" si="234"/>
        <v>-107.46333346703</v>
      </c>
      <c r="AF246" s="32" t="str">
        <f t="shared" si="235"/>
        <v>432,040091031901</v>
      </c>
      <c r="AG246" s="32" t="str">
        <f t="shared" si="217"/>
        <v>1+19,8652538087353i</v>
      </c>
      <c r="AH246" s="32">
        <f t="shared" si="236"/>
        <v>19.8904074590108</v>
      </c>
      <c r="AI246" s="32">
        <f t="shared" si="237"/>
        <v>1.5204996321303</v>
      </c>
      <c r="AJ246" s="32" t="str">
        <f t="shared" si="218"/>
        <v>1+0,187726648492549i</v>
      </c>
      <c r="AK246" s="32">
        <f t="shared" si="238"/>
        <v>1.01746808036137</v>
      </c>
      <c r="AL246" s="32">
        <f t="shared" si="239"/>
        <v>0.185566892000477</v>
      </c>
      <c r="AM246" s="32" t="str">
        <f t="shared" si="219"/>
        <v>1-0,0554212705476206i</v>
      </c>
      <c r="AN246" s="32">
        <f t="shared" si="240"/>
        <v>1.00153458114491</v>
      </c>
      <c r="AO246" s="32">
        <f t="shared" si="241"/>
        <v>-0.055364632427566</v>
      </c>
      <c r="AP246" s="30" t="str">
        <f t="shared" si="242"/>
        <v>3,9735714434302-21,7747777195468i</v>
      </c>
      <c r="AQ246" s="32">
        <f t="shared" si="243"/>
        <v>26.9013422389255</v>
      </c>
      <c r="AR246" s="31">
        <f t="shared" si="244"/>
        <v>-79.6581717156657</v>
      </c>
      <c r="AS246" t="str">
        <f t="shared" si="220"/>
        <v>-0,000201496259351621</v>
      </c>
      <c r="AT246" t="str">
        <f t="shared" si="221"/>
        <v>0,00269018991812982i</v>
      </c>
      <c r="AU246">
        <f t="shared" si="245"/>
        <v>0.00269018991812982</v>
      </c>
      <c r="AV246">
        <f t="shared" si="246"/>
        <v>1.5707963267949</v>
      </c>
      <c r="AW246" t="str">
        <f t="shared" si="222"/>
        <v>1+0,137732789511083i</v>
      </c>
      <c r="AX246">
        <f t="shared" si="247"/>
        <v>1.00944059820601</v>
      </c>
      <c r="AY246">
        <f t="shared" si="248"/>
        <v>0.136871625310181</v>
      </c>
      <c r="AZ246" t="str">
        <f t="shared" si="223"/>
        <v>1+6,58479953258302i</v>
      </c>
      <c r="BA246">
        <f t="shared" si="249"/>
        <v>6.66029915876949</v>
      </c>
      <c r="BB246">
        <f t="shared" si="250"/>
        <v>1.42008300546151</v>
      </c>
      <c r="BC246" s="30" t="str">
        <f t="shared" si="251"/>
        <v>-0,473897784959379+0,14017164840486i</v>
      </c>
      <c r="BD246" s="32">
        <f t="shared" si="252"/>
        <v>-6.12205966724262</v>
      </c>
      <c r="BE246" s="31">
        <f t="shared" si="253"/>
        <v>163.522596305828</v>
      </c>
      <c r="BF246" s="30" t="str">
        <f t="shared" si="254"/>
        <v>0,712396862627077+1,05853185408533i</v>
      </c>
      <c r="BG246" s="68">
        <f t="shared" si="255"/>
        <v>2.11654127383529</v>
      </c>
      <c r="BH246" s="31">
        <f t="shared" si="256"/>
        <v>56.0592628387989</v>
      </c>
      <c r="BI246" s="30" t="str">
        <f t="shared" si="263"/>
        <v>1,16913978117888+10,8760009885562i</v>
      </c>
      <c r="BJ246" s="68">
        <f t="shared" si="257"/>
        <v>20.7792825716829</v>
      </c>
      <c r="BK246" s="31">
        <f t="shared" si="264"/>
        <v>83.8644245901627</v>
      </c>
      <c r="BL246" s="32">
        <f t="shared" si="258"/>
        <v>2.11654127383529</v>
      </c>
      <c r="BM246" s="31">
        <f t="shared" si="259"/>
        <v>56.0592628387989</v>
      </c>
      <c r="BO246">
        <f t="shared" si="260"/>
        <v>0</v>
      </c>
      <c r="BP246">
        <f t="shared" si="261"/>
        <v>0</v>
      </c>
    </row>
    <row r="247" spans="14:68">
      <c r="N247" s="7">
        <v>29</v>
      </c>
      <c r="O247" s="18">
        <f t="shared" si="262"/>
        <v>1949.84459975805</v>
      </c>
      <c r="P247" s="86" t="str">
        <f t="shared" si="212"/>
        <v>54,5454545454545</v>
      </c>
      <c r="Q247" s="4" t="str">
        <f t="shared" si="213"/>
        <v>1+24,9479693333476i</v>
      </c>
      <c r="R247" s="4">
        <f t="shared" si="224"/>
        <v>24.9680030009941</v>
      </c>
      <c r="S247" s="4">
        <f t="shared" si="225"/>
        <v>1.5307343505242</v>
      </c>
      <c r="T247" s="4" t="str">
        <f t="shared" si="214"/>
        <v>1+0,192099363866777i</v>
      </c>
      <c r="U247" s="4">
        <f t="shared" si="226"/>
        <v>1.01828393171945</v>
      </c>
      <c r="V247" s="4">
        <f t="shared" si="227"/>
        <v>0.189787381406228</v>
      </c>
      <c r="W247" t="str">
        <f t="shared" si="215"/>
        <v>1-0,551305572321744i</v>
      </c>
      <c r="X247" s="4">
        <f t="shared" si="228"/>
        <v>1.14190097384712</v>
      </c>
      <c r="Y247" s="4">
        <f t="shared" si="229"/>
        <v>-0.503845017087756</v>
      </c>
      <c r="Z247" t="str">
        <f t="shared" si="216"/>
        <v>0,999968964130913+0,0380663371365014i</v>
      </c>
      <c r="AA247" s="4">
        <f t="shared" si="230"/>
        <v>1.00069324732809</v>
      </c>
      <c r="AB247" s="4">
        <f t="shared" si="231"/>
        <v>0.038049146229961</v>
      </c>
      <c r="AC247" s="67" t="str">
        <f t="shared" si="232"/>
        <v>-0,779322192946873-2,41587660472777i</v>
      </c>
      <c r="AD247" s="68">
        <f t="shared" si="233"/>
        <v>8.09142244565102</v>
      </c>
      <c r="AE247" s="31">
        <f t="shared" si="234"/>
        <v>-107.878850382197</v>
      </c>
      <c r="AF247" s="32" t="str">
        <f t="shared" si="235"/>
        <v>432,040091031901</v>
      </c>
      <c r="AG247" s="32" t="str">
        <f t="shared" si="217"/>
        <v>1+20,3279750123573i</v>
      </c>
      <c r="AH247" s="32">
        <f t="shared" si="236"/>
        <v>20.352556795229</v>
      </c>
      <c r="AI247" s="32">
        <f t="shared" si="237"/>
        <v>1.52164266005452</v>
      </c>
      <c r="AJ247" s="32" t="str">
        <f t="shared" si="218"/>
        <v>1+0,192099363866777i</v>
      </c>
      <c r="AK247" s="32">
        <f t="shared" si="238"/>
        <v>1.01828393171945</v>
      </c>
      <c r="AL247" s="32">
        <f t="shared" si="239"/>
        <v>0.189787381406228</v>
      </c>
      <c r="AM247" s="32" t="str">
        <f t="shared" si="219"/>
        <v>1-0,0567121977746756i</v>
      </c>
      <c r="AN247" s="32">
        <f t="shared" si="240"/>
        <v>1.00160684571165</v>
      </c>
      <c r="AO247" s="32">
        <f t="shared" si="241"/>
        <v>-0.0566515141927542</v>
      </c>
      <c r="AP247" s="30" t="str">
        <f t="shared" si="242"/>
        <v>3,92486825756313-21,2919403035551i</v>
      </c>
      <c r="AQ247" s="32">
        <f t="shared" si="243"/>
        <v>26.7094249697114</v>
      </c>
      <c r="AR247" s="31">
        <f t="shared" si="244"/>
        <v>-79.5555790550374</v>
      </c>
      <c r="AS247" t="str">
        <f t="shared" si="220"/>
        <v>-0,000201496259351621</v>
      </c>
      <c r="AT247" t="str">
        <f t="shared" si="221"/>
        <v>0,00275285249112658i</v>
      </c>
      <c r="AU247">
        <f t="shared" si="245"/>
        <v>0.00275285249112658</v>
      </c>
      <c r="AV247">
        <f t="shared" si="246"/>
        <v>1.5707963267949</v>
      </c>
      <c r="AW247" t="str">
        <f t="shared" si="222"/>
        <v>1+0,14094099831397i</v>
      </c>
      <c r="AX247">
        <f t="shared" si="247"/>
        <v>1.0098833422756</v>
      </c>
      <c r="AY247">
        <f t="shared" si="248"/>
        <v>0.140018731280777</v>
      </c>
      <c r="AZ247" t="str">
        <f t="shared" si="223"/>
        <v>1+6,73817921726575i</v>
      </c>
      <c r="BA247">
        <f t="shared" si="249"/>
        <v>6.81197909303839</v>
      </c>
      <c r="BB247">
        <f t="shared" si="250"/>
        <v>1.42346366647136</v>
      </c>
      <c r="BC247" s="30" t="str">
        <f t="shared" si="251"/>
        <v>-0,473482351943712+0,139928519002682i</v>
      </c>
      <c r="BD247" s="32">
        <f t="shared" si="252"/>
        <v>-6.13027709889916</v>
      </c>
      <c r="BE247" s="31">
        <f t="shared" si="253"/>
        <v>163.535978023862</v>
      </c>
      <c r="BF247" s="30" t="str">
        <f t="shared" si="254"/>
        <v>0,707045340231201+1,03482553652732i</v>
      </c>
      <c r="BG247" s="68">
        <f t="shared" si="255"/>
        <v>1.96114534675189</v>
      </c>
      <c r="BH247" s="31">
        <f t="shared" si="256"/>
        <v>55.6571276416646</v>
      </c>
      <c r="BI247" s="30" t="str">
        <f t="shared" si="263"/>
        <v>1,12099381970977+10,6305589749338i</v>
      </c>
      <c r="BJ247" s="68">
        <f t="shared" si="257"/>
        <v>20.5791478708122</v>
      </c>
      <c r="BK247" s="31">
        <f t="shared" si="264"/>
        <v>83.9803989688243</v>
      </c>
      <c r="BL247" s="32">
        <f t="shared" si="258"/>
        <v>1.96114534675189</v>
      </c>
      <c r="BM247" s="31">
        <f t="shared" si="259"/>
        <v>55.6571276416646</v>
      </c>
      <c r="BO247">
        <f t="shared" si="260"/>
        <v>0</v>
      </c>
      <c r="BP247">
        <f t="shared" si="261"/>
        <v>0</v>
      </c>
    </row>
    <row r="248" spans="14:68">
      <c r="N248" s="7">
        <v>30</v>
      </c>
      <c r="O248" s="18">
        <f t="shared" si="262"/>
        <v>1995.26231496888</v>
      </c>
      <c r="P248" s="86" t="str">
        <f t="shared" si="212"/>
        <v>54,5454545454545</v>
      </c>
      <c r="Q248" s="4" t="str">
        <f t="shared" si="213"/>
        <v>1+25,5290821904498i</v>
      </c>
      <c r="R248" s="4">
        <f t="shared" si="224"/>
        <v>25.5486601896605</v>
      </c>
      <c r="S248" s="4">
        <f t="shared" si="225"/>
        <v>1.53164533002934</v>
      </c>
      <c r="T248" s="4" t="str">
        <f t="shared" si="214"/>
        <v>1+0,196573932866464i</v>
      </c>
      <c r="U248" s="4">
        <f t="shared" si="226"/>
        <v>1.01913753295745</v>
      </c>
      <c r="V248" s="4">
        <f t="shared" si="227"/>
        <v>0.194099104562352</v>
      </c>
      <c r="W248" t="str">
        <f t="shared" si="215"/>
        <v>1-0,564147128762173i</v>
      </c>
      <c r="X248" s="4">
        <f t="shared" si="228"/>
        <v>1.14815590530668</v>
      </c>
      <c r="Y248" s="4">
        <f t="shared" si="229"/>
        <v>-0.513639810984398</v>
      </c>
      <c r="Z248" t="str">
        <f t="shared" si="216"/>
        <v>0,999967501455465+0,0389530160335786i</v>
      </c>
      <c r="AA248" s="4">
        <f t="shared" si="230"/>
        <v>1.00072590724194</v>
      </c>
      <c r="AB248" s="4">
        <f t="shared" si="231"/>
        <v>0.0389345963665552</v>
      </c>
      <c r="AC248" s="67" t="str">
        <f t="shared" si="232"/>
        <v>-0,783673187453718-2,37017286995338i</v>
      </c>
      <c r="AD248" s="68">
        <f t="shared" si="233"/>
        <v>7.94617904171777</v>
      </c>
      <c r="AE248" s="31">
        <f t="shared" si="234"/>
        <v>-108.295935031065</v>
      </c>
      <c r="AF248" s="32" t="str">
        <f t="shared" si="235"/>
        <v>432,040091031901</v>
      </c>
      <c r="AG248" s="32" t="str">
        <f t="shared" si="217"/>
        <v>1+20,8014743774035i</v>
      </c>
      <c r="AH248" s="32">
        <f t="shared" si="236"/>
        <v>20.8254972635415</v>
      </c>
      <c r="AI248" s="32">
        <f t="shared" si="237"/>
        <v>1.52275979370994</v>
      </c>
      <c r="AJ248" s="32" t="str">
        <f t="shared" si="218"/>
        <v>1+0,196573932866464i</v>
      </c>
      <c r="AK248" s="32">
        <f t="shared" si="238"/>
        <v>1.01913753295745</v>
      </c>
      <c r="AL248" s="32">
        <f t="shared" si="239"/>
        <v>0.194099104562352</v>
      </c>
      <c r="AM248" s="32" t="str">
        <f t="shared" si="219"/>
        <v>1-0,0580331945596658i</v>
      </c>
      <c r="AN248" s="32">
        <f t="shared" si="240"/>
        <v>1.00168251041475</v>
      </c>
      <c r="AO248" s="32">
        <f t="shared" si="241"/>
        <v>-0.0579681768274776</v>
      </c>
      <c r="AP248" s="30" t="str">
        <f t="shared" si="242"/>
        <v>3,87834672958909-20,8201769325383i</v>
      </c>
      <c r="AQ248" s="32">
        <f t="shared" si="243"/>
        <v>26.5178311180818</v>
      </c>
      <c r="AR248" s="31">
        <f t="shared" si="244"/>
        <v>-79.4479817713827</v>
      </c>
      <c r="AS248" t="str">
        <f t="shared" si="220"/>
        <v>-0,000201496259351621</v>
      </c>
      <c r="AT248" t="str">
        <f t="shared" si="221"/>
        <v>0,00281697466295244i</v>
      </c>
      <c r="AU248">
        <f t="shared" si="245"/>
        <v>0.00281697466295244</v>
      </c>
      <c r="AV248">
        <f t="shared" si="246"/>
        <v>1.5707963267949</v>
      </c>
      <c r="AW248" t="str">
        <f t="shared" si="222"/>
        <v>1+0,144223935899739i</v>
      </c>
      <c r="AX248">
        <f t="shared" si="247"/>
        <v>1.01034674428456</v>
      </c>
      <c r="AY248">
        <f t="shared" si="248"/>
        <v>0.143236254727837</v>
      </c>
      <c r="AZ248" t="str">
        <f t="shared" si="223"/>
        <v>1+6,89513157375987i</v>
      </c>
      <c r="BA248">
        <f t="shared" si="249"/>
        <v>6.96726915078356</v>
      </c>
      <c r="BB248">
        <f t="shared" si="250"/>
        <v>1.42677065537631</v>
      </c>
      <c r="BC248" s="30" t="str">
        <f t="shared" si="251"/>
        <v>-0,473048120118204+0,139754173678588i</v>
      </c>
      <c r="BD248" s="32">
        <f t="shared" si="252"/>
        <v>-6.13847621977242</v>
      </c>
      <c r="BE248" s="31">
        <f t="shared" si="253"/>
        <v>163.541104017011</v>
      </c>
      <c r="BF248" s="30" t="str">
        <f t="shared" si="254"/>
        <v>0,701956679027764+1,01168422173996i</v>
      </c>
      <c r="BG248" s="68">
        <f t="shared" si="255"/>
        <v>1.80770282194537</v>
      </c>
      <c r="BH248" s="31">
        <f t="shared" si="256"/>
        <v>55.2451689859466</v>
      </c>
      <c r="BI248" s="30" t="str">
        <f t="shared" si="263"/>
        <v>1,07506199345019+10,3909607008984i</v>
      </c>
      <c r="BJ248" s="68">
        <f t="shared" si="257"/>
        <v>20.3793548983093</v>
      </c>
      <c r="BK248" s="31">
        <f t="shared" si="264"/>
        <v>84.0931222456283</v>
      </c>
      <c r="BL248" s="32">
        <f t="shared" si="258"/>
        <v>1.80770282194537</v>
      </c>
      <c r="BM248" s="31">
        <f t="shared" si="259"/>
        <v>55.2451689859466</v>
      </c>
      <c r="BO248">
        <f t="shared" si="260"/>
        <v>0</v>
      </c>
      <c r="BP248">
        <f t="shared" si="261"/>
        <v>0</v>
      </c>
    </row>
    <row r="249" spans="14:68">
      <c r="N249" s="7">
        <v>31</v>
      </c>
      <c r="O249" s="18">
        <f t="shared" si="262"/>
        <v>2041.73794466953</v>
      </c>
      <c r="P249" s="86" t="str">
        <f t="shared" si="212"/>
        <v>54,5454545454545</v>
      </c>
      <c r="Q249" s="4" t="str">
        <f t="shared" si="213"/>
        <v>1+26,1237309048466i</v>
      </c>
      <c r="R249" s="4">
        <f t="shared" si="224"/>
        <v>26.142863584329</v>
      </c>
      <c r="S249" s="4">
        <f t="shared" si="225"/>
        <v>1.53253563593654</v>
      </c>
      <c r="T249" s="4" t="str">
        <f t="shared" si="214"/>
        <v>1+0,201152727967319i</v>
      </c>
      <c r="U249" s="4">
        <f t="shared" si="226"/>
        <v>1.02003059756494</v>
      </c>
      <c r="V249" s="4">
        <f t="shared" si="227"/>
        <v>0.19850370602032</v>
      </c>
      <c r="W249" t="str">
        <f t="shared" si="215"/>
        <v>1-0,577287803477638i</v>
      </c>
      <c r="X249" s="4">
        <f t="shared" si="228"/>
        <v>1.15466930679049</v>
      </c>
      <c r="Y249" s="4">
        <f t="shared" si="229"/>
        <v>-0.523551925047108</v>
      </c>
      <c r="Z249" t="str">
        <f t="shared" si="216"/>
        <v>0,999965969846247+0,0398603483353607i</v>
      </c>
      <c r="AA249" s="4">
        <f t="shared" si="230"/>
        <v>1.00076010523</v>
      </c>
      <c r="AB249" s="4">
        <f t="shared" si="231"/>
        <v>0.0398406121156819</v>
      </c>
      <c r="AC249" s="67" t="str">
        <f t="shared" si="232"/>
        <v>-0,7878617355853-2,32571048519274i</v>
      </c>
      <c r="AD249" s="68">
        <f t="shared" si="233"/>
        <v>7.80292490769101</v>
      </c>
      <c r="AE249" s="31">
        <f t="shared" si="234"/>
        <v>-108.714413908486</v>
      </c>
      <c r="AF249" s="32" t="str">
        <f t="shared" si="235"/>
        <v>432,040091031901</v>
      </c>
      <c r="AG249" s="32" t="str">
        <f t="shared" si="217"/>
        <v>1+21,2860029595046i</v>
      </c>
      <c r="AH249" s="32">
        <f t="shared" si="236"/>
        <v>21.3094796274343</v>
      </c>
      <c r="AI249" s="32">
        <f t="shared" si="237"/>
        <v>1.52385161425593</v>
      </c>
      <c r="AJ249" s="32" t="str">
        <f t="shared" si="218"/>
        <v>1+0,201152727967319i</v>
      </c>
      <c r="AK249" s="32">
        <f t="shared" si="238"/>
        <v>1.02003059756494</v>
      </c>
      <c r="AL249" s="32">
        <f t="shared" si="239"/>
        <v>0.19850370602032</v>
      </c>
      <c r="AM249" s="32" t="str">
        <f t="shared" si="219"/>
        <v>1-0,0593849613125714i</v>
      </c>
      <c r="AN249" s="32">
        <f t="shared" si="240"/>
        <v>1.00176173496001</v>
      </c>
      <c r="AO249" s="32">
        <f t="shared" si="241"/>
        <v>-0.0593153001728243</v>
      </c>
      <c r="AP249" s="30" t="str">
        <f t="shared" si="242"/>
        <v>3,83390957603419-20,3592517710303i</v>
      </c>
      <c r="AQ249" s="32">
        <f t="shared" si="243"/>
        <v>26.3265768480752</v>
      </c>
      <c r="AR249" s="31">
        <f t="shared" si="244"/>
        <v>-79.3353578888468</v>
      </c>
      <c r="AS249" t="str">
        <f t="shared" si="220"/>
        <v>-0,000201496259351621</v>
      </c>
      <c r="AT249" t="str">
        <f t="shared" si="221"/>
        <v>0,00288259043203168i</v>
      </c>
      <c r="AU249">
        <f t="shared" si="245"/>
        <v>0.00288259043203168</v>
      </c>
      <c r="AV249">
        <f t="shared" si="246"/>
        <v>1.5707963267949</v>
      </c>
      <c r="AW249" t="str">
        <f t="shared" si="222"/>
        <v>1+0,147583342925352i</v>
      </c>
      <c r="AX249">
        <f t="shared" si="247"/>
        <v>1.01083175806314</v>
      </c>
      <c r="AY249">
        <f t="shared" si="248"/>
        <v>0.14652563501141</v>
      </c>
      <c r="AZ249" t="str">
        <f t="shared" si="223"/>
        <v>1+7,05573982028222i</v>
      </c>
      <c r="BA249">
        <f t="shared" si="249"/>
        <v>7.12625177856608</v>
      </c>
      <c r="BB249">
        <f t="shared" si="250"/>
        <v>1.43000543610877</v>
      </c>
      <c r="BC249" s="30" t="str">
        <f t="shared" si="251"/>
        <v>-0,472594276417621+0,139648149163733i</v>
      </c>
      <c r="BD249" s="32">
        <f t="shared" si="252"/>
        <v>-6.14667336477833</v>
      </c>
      <c r="BE249" s="31">
        <f t="shared" si="253"/>
        <v>163.537975693169</v>
      </c>
      <c r="BF249" s="30" t="str">
        <f t="shared" si="254"/>
        <v>0,69712011159392+0,989094030735124i</v>
      </c>
      <c r="BG249" s="68">
        <f t="shared" si="255"/>
        <v>1.65625154291268</v>
      </c>
      <c r="BH249" s="31">
        <f t="shared" si="256"/>
        <v>54.8235617846827</v>
      </c>
      <c r="BI249" s="30" t="str">
        <f t="shared" si="263"/>
        <v>1,03124810624637+10,1570642354885i</v>
      </c>
      <c r="BJ249" s="68">
        <f t="shared" si="257"/>
        <v>20.1799034832969</v>
      </c>
      <c r="BK249" s="31">
        <f t="shared" si="264"/>
        <v>84.2026178043223</v>
      </c>
      <c r="BL249" s="32">
        <f t="shared" si="258"/>
        <v>1.65625154291268</v>
      </c>
      <c r="BM249" s="31">
        <f t="shared" si="259"/>
        <v>54.8235617846827</v>
      </c>
      <c r="BO249">
        <f t="shared" si="260"/>
        <v>0</v>
      </c>
      <c r="BP249">
        <f t="shared" si="261"/>
        <v>0</v>
      </c>
    </row>
    <row r="250" spans="14:68">
      <c r="N250" s="7">
        <v>32</v>
      </c>
      <c r="O250" s="18">
        <f t="shared" si="262"/>
        <v>2089.29613085404</v>
      </c>
      <c r="P250" s="86" t="str">
        <f t="shared" si="212"/>
        <v>54,5454545454545</v>
      </c>
      <c r="Q250" s="4" t="str">
        <f t="shared" si="213"/>
        <v>1+26,7322307671578i</v>
      </c>
      <c r="R250" s="4">
        <f t="shared" si="224"/>
        <v>26.7509282416252</v>
      </c>
      <c r="S250" s="4">
        <f t="shared" si="225"/>
        <v>1.53340573464896</v>
      </c>
      <c r="T250" s="4" t="str">
        <f t="shared" si="214"/>
        <v>1+0,205838176907116i</v>
      </c>
      <c r="U250" s="4">
        <f t="shared" si="226"/>
        <v>1.02096491373232</v>
      </c>
      <c r="V250" s="4">
        <f t="shared" si="227"/>
        <v>0.203002837219504</v>
      </c>
      <c r="W250" t="str">
        <f t="shared" si="215"/>
        <v>1-0,590734563827819i</v>
      </c>
      <c r="X250" s="4">
        <f t="shared" si="228"/>
        <v>1.161450526239</v>
      </c>
      <c r="Y250" s="4">
        <f t="shared" si="229"/>
        <v>-0.533578823240709</v>
      </c>
      <c r="Z250" t="str">
        <f t="shared" si="216"/>
        <v>0,999964366054511+0,0407888151214446i</v>
      </c>
      <c r="AA250" s="4">
        <f t="shared" si="230"/>
        <v>1.00079591366962</v>
      </c>
      <c r="AB250" s="4">
        <f t="shared" si="231"/>
        <v>0.0407676682888176</v>
      </c>
      <c r="AC250" s="67" t="str">
        <f t="shared" si="232"/>
        <v>-0,791896642107768-2,28246672067166i</v>
      </c>
      <c r="AD250" s="68">
        <f t="shared" si="233"/>
        <v>7.66171435947921</v>
      </c>
      <c r="AE250" s="31">
        <f t="shared" si="234"/>
        <v>-109.134101017472</v>
      </c>
      <c r="AF250" s="32" t="str">
        <f t="shared" si="235"/>
        <v>432,040091031901</v>
      </c>
      <c r="AG250" s="32" t="str">
        <f t="shared" si="217"/>
        <v>1+21,7818176621286i</v>
      </c>
      <c r="AH250" s="32">
        <f t="shared" si="236"/>
        <v>21.8047605046746</v>
      </c>
      <c r="AI250" s="32">
        <f t="shared" si="237"/>
        <v>1.52491869017204</v>
      </c>
      <c r="AJ250" s="32" t="str">
        <f t="shared" si="218"/>
        <v>1+0,205838176907116i</v>
      </c>
      <c r="AK250" s="32">
        <f t="shared" si="238"/>
        <v>1.02096491373232</v>
      </c>
      <c r="AL250" s="32">
        <f t="shared" si="239"/>
        <v>0.203002837219504</v>
      </c>
      <c r="AM250" s="32" t="str">
        <f t="shared" si="219"/>
        <v>1-0,0607682147580183i</v>
      </c>
      <c r="AN250" s="32">
        <f t="shared" si="240"/>
        <v>1.00184468652824</v>
      </c>
      <c r="AO250" s="32">
        <f t="shared" si="241"/>
        <v>-0.0606935789229228</v>
      </c>
      <c r="AP250" s="30" t="str">
        <f t="shared" si="242"/>
        <v>3,79146381246513-19,9089337827838i</v>
      </c>
      <c r="AQ250" s="32">
        <f t="shared" si="243"/>
        <v>26.1356788927654</v>
      </c>
      <c r="AR250" s="31">
        <f t="shared" si="244"/>
        <v>-79.2176851614445</v>
      </c>
      <c r="AS250" t="str">
        <f t="shared" si="220"/>
        <v>-0,000201496259351621</v>
      </c>
      <c r="AT250" t="str">
        <f t="shared" si="221"/>
        <v>0,00294973458871357i</v>
      </c>
      <c r="AU250">
        <f t="shared" si="245"/>
        <v>0.00294973458871357</v>
      </c>
      <c r="AV250">
        <f t="shared" si="246"/>
        <v>1.5707963267949</v>
      </c>
      <c r="AW250" t="str">
        <f t="shared" si="222"/>
        <v>1+0,151021000592881i</v>
      </c>
      <c r="AX250">
        <f t="shared" si="247"/>
        <v>1.01133938053458</v>
      </c>
      <c r="AY250">
        <f t="shared" si="248"/>
        <v>0.149888331326946</v>
      </c>
      <c r="AZ250" t="str">
        <f t="shared" si="223"/>
        <v>1+7,22008911345111i</v>
      </c>
      <c r="BA250">
        <f t="shared" si="249"/>
        <v>7.28901137371696</v>
      </c>
      <c r="BB250">
        <f t="shared" si="250"/>
        <v>1.43316945286597</v>
      </c>
      <c r="BC250" s="30" t="str">
        <f t="shared" si="251"/>
        <v>-0,472119976152604+0,139609993770204i</v>
      </c>
      <c r="BD250" s="32">
        <f t="shared" si="252"/>
        <v>-6.15488486565187</v>
      </c>
      <c r="BE250" s="31">
        <f t="shared" si="253"/>
        <v>163.526592193001</v>
      </c>
      <c r="BF250" s="30" t="str">
        <f t="shared" si="254"/>
        <v>0,692525388440915+0,967041448461305i</v>
      </c>
      <c r="BG250" s="68">
        <f t="shared" si="255"/>
        <v>1.50682949382734</v>
      </c>
      <c r="BH250" s="31">
        <f t="shared" si="256"/>
        <v>54.3924911755286</v>
      </c>
      <c r="BI250" s="30" t="str">
        <f t="shared" si="263"/>
        <v>0,989460316661352+9,92873158198987i</v>
      </c>
      <c r="BJ250" s="68">
        <f t="shared" si="257"/>
        <v>19.9807940271136</v>
      </c>
      <c r="BK250" s="31">
        <f t="shared" si="264"/>
        <v>84.3089070315562</v>
      </c>
      <c r="BL250" s="32">
        <f t="shared" si="258"/>
        <v>1.50682949382734</v>
      </c>
      <c r="BM250" s="31">
        <f t="shared" si="259"/>
        <v>54.3924911755286</v>
      </c>
      <c r="BO250">
        <f t="shared" si="260"/>
        <v>0</v>
      </c>
      <c r="BP250">
        <f t="shared" si="261"/>
        <v>0</v>
      </c>
    </row>
    <row r="251" spans="14:68">
      <c r="N251" s="7">
        <v>33</v>
      </c>
      <c r="O251" s="18">
        <f t="shared" si="262"/>
        <v>2137.96208950223</v>
      </c>
      <c r="P251" s="86" t="str">
        <f t="shared" si="212"/>
        <v>54,5454545454545</v>
      </c>
      <c r="Q251" s="4" t="str">
        <f t="shared" si="213"/>
        <v>1+27,3549044120645i</v>
      </c>
      <c r="R251" s="4">
        <f t="shared" si="224"/>
        <v>27.3731765674572</v>
      </c>
      <c r="S251" s="4">
        <f t="shared" si="225"/>
        <v>1.53425608223165</v>
      </c>
      <c r="T251" s="4" t="str">
        <f t="shared" si="214"/>
        <v>1+0,210632763972897i</v>
      </c>
      <c r="U251" s="4">
        <f t="shared" si="226"/>
        <v>1.02194234732634</v>
      </c>
      <c r="V251" s="4">
        <f t="shared" si="227"/>
        <v>0.207598154736201</v>
      </c>
      <c r="W251" t="str">
        <f t="shared" si="215"/>
        <v>1-0,604494539463034i</v>
      </c>
      <c r="X251" s="4">
        <f t="shared" si="228"/>
        <v>1.16850915625023</v>
      </c>
      <c r="Y251" s="4">
        <f t="shared" si="229"/>
        <v>-0.543717756652202</v>
      </c>
      <c r="Z251" t="str">
        <f t="shared" si="216"/>
        <v>0,999962686678399+0,0417389086772094i</v>
      </c>
      <c r="AA251" s="4">
        <f t="shared" si="230"/>
        <v>1.00083340833859</v>
      </c>
      <c r="AB251" s="4">
        <f t="shared" si="231"/>
        <v>0.0417162504562345</v>
      </c>
      <c r="AC251" s="67" t="str">
        <f t="shared" si="232"/>
        <v>-0,795786391588769-2,24041942405889i</v>
      </c>
      <c r="AD251" s="68">
        <f t="shared" si="233"/>
        <v>7.52260176386337</v>
      </c>
      <c r="AE251" s="31">
        <f t="shared" si="234"/>
        <v>-109.554797893807</v>
      </c>
      <c r="AF251" s="32" t="str">
        <f t="shared" si="235"/>
        <v>432,040091031901</v>
      </c>
      <c r="AG251" s="32" t="str">
        <f t="shared" si="217"/>
        <v>1+22,2891813727933i</v>
      </c>
      <c r="AH251" s="32">
        <f t="shared" si="236"/>
        <v>22.3116025033899</v>
      </c>
      <c r="AI251" s="32">
        <f t="shared" si="237"/>
        <v>1.52596157751031</v>
      </c>
      <c r="AJ251" s="32" t="str">
        <f t="shared" si="218"/>
        <v>1+0,210632763972897i</v>
      </c>
      <c r="AK251" s="32">
        <f t="shared" si="238"/>
        <v>1.02194234732634</v>
      </c>
      <c r="AL251" s="32">
        <f t="shared" si="239"/>
        <v>0.207598154736201</v>
      </c>
      <c r="AM251" s="32" t="str">
        <f t="shared" si="219"/>
        <v>1-0,0621836883152919i</v>
      </c>
      <c r="AN251" s="32">
        <f t="shared" si="240"/>
        <v>1.00193154012262</v>
      </c>
      <c r="AO251" s="32">
        <f t="shared" si="241"/>
        <v>-0.0621037229015714</v>
      </c>
      <c r="AP251" s="30" t="str">
        <f t="shared" si="242"/>
        <v>3,75092056693921-19,4689966707355i</v>
      </c>
      <c r="AQ251" s="32">
        <f t="shared" si="243"/>
        <v>25.9451545762021</v>
      </c>
      <c r="AR251" s="31">
        <f t="shared" si="244"/>
        <v>-79.0949412036879</v>
      </c>
      <c r="AS251" t="str">
        <f t="shared" si="220"/>
        <v>-0,000201496259351621</v>
      </c>
      <c r="AT251" t="str">
        <f t="shared" si="221"/>
        <v>0,00301844273371874i</v>
      </c>
      <c r="AU251">
        <f t="shared" si="245"/>
        <v>0.00301844273371874</v>
      </c>
      <c r="AV251">
        <f t="shared" si="246"/>
        <v>1.5707963267949</v>
      </c>
      <c r="AW251" t="str">
        <f t="shared" si="222"/>
        <v>1+0,154538731593922i</v>
      </c>
      <c r="AX251">
        <f t="shared" si="247"/>
        <v>1.0118706535732</v>
      </c>
      <c r="AY251">
        <f t="shared" si="248"/>
        <v>0.153325822267393</v>
      </c>
      <c r="AZ251" t="str">
        <f t="shared" si="223"/>
        <v>1+7,38826659343706i</v>
      </c>
      <c r="BA251">
        <f t="shared" si="249"/>
        <v>7.45563432953213</v>
      </c>
      <c r="BB251">
        <f t="shared" si="250"/>
        <v>1.43626412971875</v>
      </c>
      <c r="BC251" s="30" t="str">
        <f t="shared" si="251"/>
        <v>-0,471624342116966+0,139639265606787i</v>
      </c>
      <c r="BD251" s="32">
        <f t="shared" si="252"/>
        <v>-6.16312707723275</v>
      </c>
      <c r="BE251" s="31">
        <f t="shared" si="253"/>
        <v>163.50695039262</v>
      </c>
      <c r="BF251" s="30" t="str">
        <f t="shared" si="254"/>
        <v>0,688162756425452+0,945513309636515i</v>
      </c>
      <c r="BG251" s="68">
        <f t="shared" si="255"/>
        <v>1.35947468663062</v>
      </c>
      <c r="BH251" s="31">
        <f t="shared" si="256"/>
        <v>53.9521524988129</v>
      </c>
      <c r="BI251" s="30" t="str">
        <f t="shared" si="263"/>
        <v>0,949610952486784+9,70582853982982i</v>
      </c>
      <c r="BJ251" s="68">
        <f t="shared" si="257"/>
        <v>19.7820274989694</v>
      </c>
      <c r="BK251" s="31">
        <f t="shared" si="264"/>
        <v>84.4120091889322</v>
      </c>
      <c r="BL251" s="32">
        <f t="shared" si="258"/>
        <v>1.35947468663062</v>
      </c>
      <c r="BM251" s="31">
        <f t="shared" si="259"/>
        <v>53.9521524988129</v>
      </c>
      <c r="BO251">
        <f t="shared" si="260"/>
        <v>0</v>
      </c>
      <c r="BP251">
        <f t="shared" si="261"/>
        <v>0</v>
      </c>
    </row>
    <row r="252" spans="14:68">
      <c r="N252" s="7">
        <v>34</v>
      </c>
      <c r="O252" s="18">
        <f t="shared" si="262"/>
        <v>2187.76162394955</v>
      </c>
      <c r="P252" s="86" t="str">
        <f t="shared" si="212"/>
        <v>54,5454545454545</v>
      </c>
      <c r="Q252" s="4" t="str">
        <f t="shared" si="213"/>
        <v>1+27,9920819893755i</v>
      </c>
      <c r="R252" s="4">
        <f t="shared" si="224"/>
        <v>28.009938487971</v>
      </c>
      <c r="S252" s="4">
        <f t="shared" si="225"/>
        <v>1.5350871246283</v>
      </c>
      <c r="T252" s="4" t="str">
        <f t="shared" si="214"/>
        <v>1+0,215539031318192i</v>
      </c>
      <c r="U252" s="4">
        <f t="shared" si="226"/>
        <v>1.0229648449588</v>
      </c>
      <c r="V252" s="4">
        <f t="shared" si="227"/>
        <v>0.212291318392161</v>
      </c>
      <c r="W252" t="str">
        <f t="shared" si="215"/>
        <v>1-0,618575026104505i</v>
      </c>
      <c r="X252" s="4">
        <f t="shared" si="228"/>
        <v>1.17585503482368</v>
      </c>
      <c r="Y252" s="4">
        <f t="shared" si="229"/>
        <v>-0.553965762480964</v>
      </c>
      <c r="Z252" t="str">
        <f t="shared" si="216"/>
        <v>0,999960928155729+0,0427111327548348i</v>
      </c>
      <c r="AA252" s="4">
        <f t="shared" si="230"/>
        <v>1.00087266857441</v>
      </c>
      <c r="AB252" s="4">
        <f t="shared" si="231"/>
        <v>0.0426868551762095</v>
      </c>
      <c r="AC252" s="67" t="str">
        <f t="shared" si="232"/>
        <v>-0,79953916577061-2,19954701237872i</v>
      </c>
      <c r="AD252" s="68">
        <f t="shared" si="233"/>
        <v>7.38564144868159</v>
      </c>
      <c r="AE252" s="31">
        <f t="shared" si="234"/>
        <v>-109.976293682125</v>
      </c>
      <c r="AF252" s="32" t="str">
        <f t="shared" si="235"/>
        <v>432,040091031901</v>
      </c>
      <c r="AG252" s="32" t="str">
        <f t="shared" si="217"/>
        <v>1+22,8083631024541i</v>
      </c>
      <c r="AH252" s="32">
        <f t="shared" si="236"/>
        <v>22.8302743613253</v>
      </c>
      <c r="AI252" s="32">
        <f t="shared" si="237"/>
        <v>1.52698082014417</v>
      </c>
      <c r="AJ252" s="32" t="str">
        <f t="shared" si="218"/>
        <v>1+0,215539031318192i</v>
      </c>
      <c r="AK252" s="32">
        <f t="shared" si="238"/>
        <v>1.0229648449588</v>
      </c>
      <c r="AL252" s="32">
        <f t="shared" si="239"/>
        <v>0.212291318392161</v>
      </c>
      <c r="AM252" s="32" t="str">
        <f t="shared" si="219"/>
        <v>1-0,0636321324872089i</v>
      </c>
      <c r="AN252" s="32">
        <f t="shared" si="240"/>
        <v>1.00202247893192</v>
      </c>
      <c r="AO252" s="32">
        <f t="shared" si="241"/>
        <v>-0.0635464573404708</v>
      </c>
      <c r="AP252" s="30" t="str">
        <f t="shared" si="242"/>
        <v>3,71219490124641-19,0392188153952i</v>
      </c>
      <c r="AQ252" s="32">
        <f t="shared" si="243"/>
        <v>25.7550218354665</v>
      </c>
      <c r="AR252" s="31">
        <f t="shared" si="244"/>
        <v>-78.967103629164</v>
      </c>
      <c r="AS252" t="str">
        <f t="shared" si="220"/>
        <v>-0,000201496259351621</v>
      </c>
      <c r="AT252" t="str">
        <f t="shared" si="221"/>
        <v>0,00308875129701515i</v>
      </c>
      <c r="AU252">
        <f t="shared" si="245"/>
        <v>0.00308875129701515</v>
      </c>
      <c r="AV252">
        <f t="shared" si="246"/>
        <v>1.5707963267949</v>
      </c>
      <c r="AW252" t="str">
        <f t="shared" si="222"/>
        <v>1+0,158138401076017i</v>
      </c>
      <c r="AX252">
        <f t="shared" si="247"/>
        <v>1.01242666593432</v>
      </c>
      <c r="AY252">
        <f t="shared" si="248"/>
        <v>0.156839605319878</v>
      </c>
      <c r="AZ252" t="str">
        <f t="shared" si="223"/>
        <v>1+7,56036143016615i</v>
      </c>
      <c r="BA252">
        <f t="shared" si="249"/>
        <v>7.6262090814994</v>
      </c>
      <c r="BB252">
        <f t="shared" si="250"/>
        <v>1.43929087027853</v>
      </c>
      <c r="BC252" s="30" t="str">
        <f t="shared" si="251"/>
        <v>-0,471106463703904+0,139735530714136i</v>
      </c>
      <c r="BD252" s="32">
        <f t="shared" si="252"/>
        <v>-6.17141640374605</v>
      </c>
      <c r="BE252" s="31">
        <f t="shared" si="253"/>
        <v>163.479044913344</v>
      </c>
      <c r="BF252" s="30" t="str">
        <f t="shared" si="254"/>
        <v>0,684022938084394+0,924496785096532i</v>
      </c>
      <c r="BG252" s="68">
        <f t="shared" si="255"/>
        <v>1.21422504493554</v>
      </c>
      <c r="BH252" s="31">
        <f t="shared" si="256"/>
        <v>53.5027512312196</v>
      </c>
      <c r="BI252" s="30" t="str">
        <f t="shared" si="263"/>
        <v>0,911616333045952+9,48822457244564i</v>
      </c>
      <c r="BJ252" s="68">
        <f t="shared" si="257"/>
        <v>19.5836054317205</v>
      </c>
      <c r="BK252" s="31">
        <f t="shared" si="264"/>
        <v>84.5119412841804</v>
      </c>
      <c r="BL252" s="32">
        <f t="shared" si="258"/>
        <v>1.21422504493554</v>
      </c>
      <c r="BM252" s="31">
        <f t="shared" si="259"/>
        <v>53.5027512312196</v>
      </c>
      <c r="BO252">
        <f t="shared" si="260"/>
        <v>0</v>
      </c>
      <c r="BP252">
        <f t="shared" si="261"/>
        <v>0</v>
      </c>
    </row>
    <row r="253" spans="14:68">
      <c r="N253" s="7">
        <v>35</v>
      </c>
      <c r="O253" s="18">
        <f t="shared" si="262"/>
        <v>2238.72113856834</v>
      </c>
      <c r="P253" s="86" t="str">
        <f t="shared" si="212"/>
        <v>54,5454545454545</v>
      </c>
      <c r="Q253" s="4" t="str">
        <f t="shared" si="213"/>
        <v>1+28,6441013390761i</v>
      </c>
      <c r="R253" s="4">
        <f t="shared" si="224"/>
        <v>28.6615516244892</v>
      </c>
      <c r="S253" s="4">
        <f t="shared" si="225"/>
        <v>1.53589929787443</v>
      </c>
      <c r="T253" s="4" t="str">
        <f t="shared" si="214"/>
        <v>1+0,220559580310887i</v>
      </c>
      <c r="U253" s="4">
        <f t="shared" si="226"/>
        <v>1.02403443714892</v>
      </c>
      <c r="V253" s="4">
        <f t="shared" si="227"/>
        <v>0.217083989216015</v>
      </c>
      <c r="W253" t="str">
        <f t="shared" si="215"/>
        <v>1-0,632983489412621i</v>
      </c>
      <c r="X253" s="4">
        <f t="shared" si="228"/>
        <v>1.18349824582421</v>
      </c>
      <c r="Y253" s="4">
        <f t="shared" si="229"/>
        <v>-0.564319663833857</v>
      </c>
      <c r="Z253" t="str">
        <f t="shared" si="216"/>
        <v>0,999959086756439+0,0437060028403952i</v>
      </c>
      <c r="AA253" s="4">
        <f t="shared" si="230"/>
        <v>1.00091377744092</v>
      </c>
      <c r="AB253" s="4">
        <f t="shared" si="231"/>
        <v>0.0436799902280533</v>
      </c>
      <c r="AC253" s="67" t="str">
        <f t="shared" si="232"/>
        <v>-0,803162860343717-2,15982846392163i</v>
      </c>
      <c r="AD253" s="68">
        <f t="shared" si="233"/>
        <v>7.25088761022676</v>
      </c>
      <c r="AE253" s="31">
        <f t="shared" si="234"/>
        <v>-110.398365266532</v>
      </c>
      <c r="AF253" s="32" t="str">
        <f t="shared" si="235"/>
        <v>432,040091031901</v>
      </c>
      <c r="AG253" s="32" t="str">
        <f t="shared" si="217"/>
        <v>1+23,3396381281361i</v>
      </c>
      <c r="AH253" s="32">
        <f t="shared" si="236"/>
        <v>23.3610510883467</v>
      </c>
      <c r="AI253" s="32">
        <f t="shared" si="237"/>
        <v>1.52797695001396</v>
      </c>
      <c r="AJ253" s="32" t="str">
        <f t="shared" si="218"/>
        <v>1+0,220559580310887i</v>
      </c>
      <c r="AK253" s="32">
        <f t="shared" si="238"/>
        <v>1.02403443714892</v>
      </c>
      <c r="AL253" s="32">
        <f t="shared" si="239"/>
        <v>0.217083989216015</v>
      </c>
      <c r="AM253" s="32" t="str">
        <f t="shared" si="219"/>
        <v>1-0,065114315258041i</v>
      </c>
      <c r="AN253" s="32">
        <f t="shared" si="240"/>
        <v>1.00211769471032</v>
      </c>
      <c r="AO253" s="32">
        <f t="shared" si="241"/>
        <v>-0.0650225231587511</v>
      </c>
      <c r="AP253" s="30" t="str">
        <f t="shared" si="242"/>
        <v>3,67520563964525-18,6193832118956i</v>
      </c>
      <c r="AQ253" s="32">
        <f t="shared" si="243"/>
        <v>25.565299242801</v>
      </c>
      <c r="AR253" s="31">
        <f t="shared" si="244"/>
        <v>-78.8341501974186</v>
      </c>
      <c r="AS253" t="str">
        <f t="shared" si="220"/>
        <v>-0,000201496259351621</v>
      </c>
      <c r="AT253" t="str">
        <f t="shared" si="221"/>
        <v>0,0031606975571337i</v>
      </c>
      <c r="AU253">
        <f t="shared" si="245"/>
        <v>0.0031606975571337</v>
      </c>
      <c r="AV253">
        <f t="shared" si="246"/>
        <v>1.5707963267949</v>
      </c>
      <c r="AW253" t="str">
        <f t="shared" si="222"/>
        <v>1+0,16182191763157i</v>
      </c>
      <c r="AX253">
        <f t="shared" si="247"/>
        <v>1.01300855525803</v>
      </c>
      <c r="AY253">
        <f t="shared" si="248"/>
        <v>0.160431196292541</v>
      </c>
      <c r="AZ253" t="str">
        <f t="shared" si="223"/>
        <v>1+7,73646487059869i</v>
      </c>
      <c r="BA253">
        <f t="shared" si="249"/>
        <v>7.80082615458181</v>
      </c>
      <c r="BB253">
        <f t="shared" si="250"/>
        <v>1.44225105741834</v>
      </c>
      <c r="BC253" s="30" t="str">
        <f t="shared" si="251"/>
        <v>-0,470565396035421+0,139898361114878i</v>
      </c>
      <c r="BD253" s="32">
        <f t="shared" si="252"/>
        <v>-6.17976932507502</v>
      </c>
      <c r="BE253" s="31">
        <f t="shared" si="253"/>
        <v>163.442868138554</v>
      </c>
      <c r="BF253" s="30" t="str">
        <f t="shared" si="254"/>
        <v>0,680097111850483+0,903979368623433i</v>
      </c>
      <c r="BG253" s="68">
        <f t="shared" si="255"/>
        <v>1.07111828515174</v>
      </c>
      <c r="BH253" s="31">
        <f t="shared" si="256"/>
        <v>53.0445028720218</v>
      </c>
      <c r="BI253" s="30" t="str">
        <f t="shared" si="263"/>
        <v>0,875396598982787+9,27579268078745i</v>
      </c>
      <c r="BJ253" s="68">
        <f t="shared" si="257"/>
        <v>19.385529917726</v>
      </c>
      <c r="BK253" s="31">
        <f t="shared" si="264"/>
        <v>84.6087179411349</v>
      </c>
      <c r="BL253" s="32">
        <f t="shared" si="258"/>
        <v>1.07111828515174</v>
      </c>
      <c r="BM253" s="31">
        <f t="shared" si="259"/>
        <v>53.0445028720218</v>
      </c>
      <c r="BO253">
        <f t="shared" si="260"/>
        <v>0</v>
      </c>
      <c r="BP253">
        <f t="shared" si="261"/>
        <v>0</v>
      </c>
    </row>
    <row r="254" spans="14:68">
      <c r="N254" s="7">
        <v>36</v>
      </c>
      <c r="O254" s="18">
        <f t="shared" si="262"/>
        <v>2290.86765276777</v>
      </c>
      <c r="P254" s="86" t="str">
        <f t="shared" si="212"/>
        <v>54,5454545454545</v>
      </c>
      <c r="Q254" s="4" t="str">
        <f t="shared" si="213"/>
        <v>1+29,3113081704563i</v>
      </c>
      <c r="R254" s="4">
        <f t="shared" si="224"/>
        <v>29.3283614725313</v>
      </c>
      <c r="S254" s="4">
        <f t="shared" si="225"/>
        <v>1.53669302830675</v>
      </c>
      <c r="T254" s="4" t="str">
        <f t="shared" si="214"/>
        <v>1+0,225697072912514i</v>
      </c>
      <c r="U254" s="4">
        <f t="shared" si="226"/>
        <v>1.02515324157966</v>
      </c>
      <c r="V254" s="4">
        <f t="shared" si="227"/>
        <v>0.221977827251099</v>
      </c>
      <c r="W254" t="str">
        <f t="shared" si="215"/>
        <v>1-0,647727568945354i</v>
      </c>
      <c r="X254" s="4">
        <f t="shared" si="228"/>
        <v>1.19144911917037</v>
      </c>
      <c r="Y254" s="4">
        <f t="shared" si="229"/>
        <v>-0.574776070369271</v>
      </c>
      <c r="Z254" t="str">
        <f t="shared" si="216"/>
        <v>0,999957158574673+0,0447240464271792i</v>
      </c>
      <c r="AA254" s="4">
        <f t="shared" si="230"/>
        <v>1.0009568219027</v>
      </c>
      <c r="AB254" s="4">
        <f t="shared" si="231"/>
        <v>0.04469617484895</v>
      </c>
      <c r="AC254" s="67" t="str">
        <f t="shared" si="232"/>
        <v>-0,806665101151097-2,12124331016412i</v>
      </c>
      <c r="AD254" s="68">
        <f t="shared" si="233"/>
        <v>7.11839421830707</v>
      </c>
      <c r="AE254" s="31">
        <f t="shared" si="234"/>
        <v>-110.820777458679</v>
      </c>
      <c r="AF254" s="32" t="str">
        <f t="shared" si="235"/>
        <v>432,040091031901</v>
      </c>
      <c r="AG254" s="32" t="str">
        <f t="shared" si="217"/>
        <v>1+23,8832881388904i</v>
      </c>
      <c r="AH254" s="32">
        <f t="shared" si="236"/>
        <v>23.9042141122703</v>
      </c>
      <c r="AI254" s="32">
        <f t="shared" si="237"/>
        <v>1.52895048736895</v>
      </c>
      <c r="AJ254" s="32" t="str">
        <f t="shared" si="218"/>
        <v>1+0,225697072912514i</v>
      </c>
      <c r="AK254" s="32">
        <f t="shared" si="238"/>
        <v>1.02515324157966</v>
      </c>
      <c r="AL254" s="32">
        <f t="shared" si="239"/>
        <v>0.221977827251099</v>
      </c>
      <c r="AM254" s="32" t="str">
        <f t="shared" si="219"/>
        <v>1-0,0666310225007131i</v>
      </c>
      <c r="AN254" s="32">
        <f t="shared" si="240"/>
        <v>1.00221738817459</v>
      </c>
      <c r="AO254" s="32">
        <f t="shared" si="241"/>
        <v>-0.0665326772434809</v>
      </c>
      <c r="AP254" s="30" t="str">
        <f t="shared" si="242"/>
        <v>3,63987520480292-18,2092774059115i</v>
      </c>
      <c r="AQ254" s="32">
        <f t="shared" si="243"/>
        <v>25.3760060277623</v>
      </c>
      <c r="AR254" s="31">
        <f t="shared" si="244"/>
        <v>-78.6960589694963</v>
      </c>
      <c r="AS254" t="str">
        <f t="shared" si="220"/>
        <v>-0,000201496259351621</v>
      </c>
      <c r="AT254" t="str">
        <f t="shared" si="221"/>
        <v>0,0032343196609338i</v>
      </c>
      <c r="AU254">
        <f t="shared" si="245"/>
        <v>0.0032343196609338</v>
      </c>
      <c r="AV254">
        <f t="shared" si="246"/>
        <v>1.5707963267949</v>
      </c>
      <c r="AW254" t="str">
        <f t="shared" si="222"/>
        <v>1+0,165591234309819i</v>
      </c>
      <c r="AX254">
        <f t="shared" si="247"/>
        <v>1.0136175101488</v>
      </c>
      <c r="AY254">
        <f t="shared" si="248"/>
        <v>0.164102128666891</v>
      </c>
      <c r="AZ254" t="str">
        <f t="shared" si="223"/>
        <v>1+7,91667028710986i</v>
      </c>
      <c r="BA254">
        <f t="shared" si="249"/>
        <v>7.97957821158538</v>
      </c>
      <c r="BB254">
        <f t="shared" si="250"/>
        <v>1.44514605304442</v>
      </c>
      <c r="BC254" s="30" t="str">
        <f t="shared" si="251"/>
        <v>-0,470000159109914+0,140127332774255i</v>
      </c>
      <c r="BD254" s="32">
        <f t="shared" si="252"/>
        <v>-6.18820242301924</v>
      </c>
      <c r="BE254" s="31">
        <f t="shared" si="253"/>
        <v>163.398410237709</v>
      </c>
      <c r="BF254" s="30" t="str">
        <f t="shared" si="254"/>
        <v>0,67637689310796+0,883948864221599i</v>
      </c>
      <c r="BG254" s="68">
        <f t="shared" si="255"/>
        <v>0.930191795287822</v>
      </c>
      <c r="BH254" s="31">
        <f t="shared" si="256"/>
        <v>52.5776327790294</v>
      </c>
      <c r="BI254" s="30" t="str">
        <f t="shared" si="263"/>
        <v>0,84087554923928+9,06840928213515i</v>
      </c>
      <c r="BJ254" s="68">
        <f t="shared" si="257"/>
        <v>19.1878036047431</v>
      </c>
      <c r="BK254" s="31">
        <f t="shared" si="264"/>
        <v>84.7023512682124</v>
      </c>
      <c r="BL254" s="32">
        <f t="shared" si="258"/>
        <v>0.930191795287822</v>
      </c>
      <c r="BM254" s="31">
        <f t="shared" si="259"/>
        <v>52.5776327790294</v>
      </c>
      <c r="BO254">
        <f t="shared" si="260"/>
        <v>0</v>
      </c>
      <c r="BP254">
        <f t="shared" si="261"/>
        <v>0</v>
      </c>
    </row>
    <row r="255" spans="14:68">
      <c r="N255" s="7">
        <v>37</v>
      </c>
      <c r="O255" s="18">
        <f t="shared" si="262"/>
        <v>2344.22881531992</v>
      </c>
      <c r="P255" s="86" t="str">
        <f t="shared" si="212"/>
        <v>54,5454545454545</v>
      </c>
      <c r="Q255" s="4" t="str">
        <f t="shared" si="213"/>
        <v>1+29,9940562454096i</v>
      </c>
      <c r="R255" s="4">
        <f t="shared" si="224"/>
        <v>30.0107215850068</v>
      </c>
      <c r="S255" s="4">
        <f t="shared" si="225"/>
        <v>1.5374687327689</v>
      </c>
      <c r="T255" s="4" t="str">
        <f t="shared" si="214"/>
        <v>1+0,230954233089654i</v>
      </c>
      <c r="U255" s="4">
        <f t="shared" si="226"/>
        <v>1.02632346644809</v>
      </c>
      <c r="V255" s="4">
        <f t="shared" si="227"/>
        <v>0.226974489203117</v>
      </c>
      <c r="W255" t="str">
        <f t="shared" si="215"/>
        <v>1-0,66281508220883i</v>
      </c>
      <c r="X255" s="4">
        <f t="shared" si="228"/>
        <v>1.199718230754</v>
      </c>
      <c r="Y255" s="4">
        <f t="shared" si="229"/>
        <v>-0.585331379829504</v>
      </c>
      <c r="Z255" t="str">
        <f t="shared" si="216"/>
        <v>0,999955139520501+0,0457658032953716i</v>
      </c>
      <c r="AA255" s="4">
        <f t="shared" si="230"/>
        <v>1.00100189300757</v>
      </c>
      <c r="AB255" s="4">
        <f t="shared" si="231"/>
        <v>0.0457359399745753</v>
      </c>
      <c r="AC255" s="67" t="str">
        <f t="shared" si="232"/>
        <v>-0,810053259853613-2,08377162770767i</v>
      </c>
      <c r="AD255" s="68">
        <f t="shared" si="233"/>
        <v>6.98821491946299</v>
      </c>
      <c r="AE255" s="31">
        <f t="shared" si="234"/>
        <v>-111.243283245915</v>
      </c>
      <c r="AF255" s="32" t="str">
        <f t="shared" si="235"/>
        <v>432,040091031901</v>
      </c>
      <c r="AG255" s="32" t="str">
        <f t="shared" si="217"/>
        <v>1+24,4396013851486i</v>
      </c>
      <c r="AH255" s="32">
        <f t="shared" si="236"/>
        <v>24.4600514280931</v>
      </c>
      <c r="AI255" s="32">
        <f t="shared" si="237"/>
        <v>1.52990194100576</v>
      </c>
      <c r="AJ255" s="32" t="str">
        <f t="shared" si="218"/>
        <v>1+0,230954233089654i</v>
      </c>
      <c r="AK255" s="32">
        <f t="shared" si="238"/>
        <v>1.02632346644809</v>
      </c>
      <c r="AL255" s="32">
        <f t="shared" si="239"/>
        <v>0.226974489203117</v>
      </c>
      <c r="AM255" s="32" t="str">
        <f t="shared" si="219"/>
        <v>1-0,0681830583934811i</v>
      </c>
      <c r="AN255" s="32">
        <f t="shared" si="240"/>
        <v>1.00232176941933</v>
      </c>
      <c r="AO255" s="32">
        <f t="shared" si="241"/>
        <v>-0.0680776927307899</v>
      </c>
      <c r="AP255" s="30" t="str">
        <f t="shared" si="242"/>
        <v>3,60612946065928-17,8086934286497i</v>
      </c>
      <c r="AQ255" s="32">
        <f t="shared" si="243"/>
        <v>25.187162099346</v>
      </c>
      <c r="AR255" s="31">
        <f t="shared" si="244"/>
        <v>-78.5528084724892</v>
      </c>
      <c r="AS255" t="str">
        <f t="shared" si="220"/>
        <v>-0,000201496259351621</v>
      </c>
      <c r="AT255" t="str">
        <f t="shared" si="221"/>
        <v>0,00330965664382943i</v>
      </c>
      <c r="AU255">
        <f t="shared" si="245"/>
        <v>0.00330965664382943</v>
      </c>
      <c r="AV255">
        <f t="shared" si="246"/>
        <v>1.5707963267949</v>
      </c>
      <c r="AW255" t="str">
        <f t="shared" si="222"/>
        <v>1+0,169448349652359i</v>
      </c>
      <c r="AX255">
        <f t="shared" si="247"/>
        <v>1.01425477233282</v>
      </c>
      <c r="AY255">
        <f t="shared" si="248"/>
        <v>0.167853952870818</v>
      </c>
      <c r="AZ255" t="str">
        <f t="shared" si="223"/>
        <v>1+8,1010732269968i</v>
      </c>
      <c r="BA255">
        <f t="shared" si="249"/>
        <v>8.16256010263718</v>
      </c>
      <c r="BB255">
        <f t="shared" si="250"/>
        <v>1.44797719791475</v>
      </c>
      <c r="BC255" s="30" t="str">
        <f t="shared" si="251"/>
        <v>-0,469409736973247+0,140422023466818i</v>
      </c>
      <c r="BD255" s="32">
        <f t="shared" si="252"/>
        <v>-6.19673240753278</v>
      </c>
      <c r="BE255" s="31">
        <f t="shared" si="253"/>
        <v>163.345659197609</v>
      </c>
      <c r="BF255" s="30" t="str">
        <f t="shared" si="254"/>
        <v>0,672854316047662+0,864393373810036i</v>
      </c>
      <c r="BG255" s="68">
        <f t="shared" si="255"/>
        <v>0.791482511930206</v>
      </c>
      <c r="BH255" s="31">
        <f t="shared" si="256"/>
        <v>52.1023759516938</v>
      </c>
      <c r="BI255" s="30" t="str">
        <f t="shared" si="263"/>
        <v>0,807980484931666+8,86595409392873i</v>
      </c>
      <c r="BJ255" s="68">
        <f t="shared" si="257"/>
        <v>18.9904296918132</v>
      </c>
      <c r="BK255" s="31">
        <f t="shared" si="264"/>
        <v>84.7928507251196</v>
      </c>
      <c r="BL255" s="32">
        <f t="shared" si="258"/>
        <v>0.791482511930206</v>
      </c>
      <c r="BM255" s="31">
        <f t="shared" si="259"/>
        <v>52.1023759516938</v>
      </c>
      <c r="BO255">
        <f t="shared" si="260"/>
        <v>0</v>
      </c>
      <c r="BP255">
        <f t="shared" si="261"/>
        <v>0</v>
      </c>
    </row>
    <row r="256" spans="14:68">
      <c r="N256" s="7">
        <v>38</v>
      </c>
      <c r="O256" s="18">
        <f t="shared" si="262"/>
        <v>2398.83291901949</v>
      </c>
      <c r="P256" s="86" t="str">
        <f t="shared" si="212"/>
        <v>54,5454545454545</v>
      </c>
      <c r="Q256" s="4" t="str">
        <f t="shared" si="213"/>
        <v>1+30,6927075660026i</v>
      </c>
      <c r="R256" s="4">
        <f t="shared" si="224"/>
        <v>30.7089937596814</v>
      </c>
      <c r="S256" s="4">
        <f t="shared" si="225"/>
        <v>1.53822681881348</v>
      </c>
      <c r="T256" s="4" t="str">
        <f t="shared" si="214"/>
        <v>1+0,23633384825822i</v>
      </c>
      <c r="U256" s="4">
        <f t="shared" si="226"/>
        <v>1.02754741390971</v>
      </c>
      <c r="V256" s="4">
        <f t="shared" si="227"/>
        <v>0.232075625921199</v>
      </c>
      <c r="W256" t="str">
        <f t="shared" si="215"/>
        <v>1-0,678254028802291i</v>
      </c>
      <c r="X256" s="4">
        <f t="shared" si="228"/>
        <v>1.2083164021011</v>
      </c>
      <c r="Y256" s="4">
        <f t="shared" si="229"/>
        <v>-0.595981780495814</v>
      </c>
      <c r="Z256" t="str">
        <f t="shared" si="216"/>
        <v>0,999953025311238+0,0468318257982534i</v>
      </c>
      <c r="AA256" s="4">
        <f t="shared" si="230"/>
        <v>1.00104908607755</v>
      </c>
      <c r="AB256" s="4">
        <f t="shared" si="231"/>
        <v>0.0467998284834647</v>
      </c>
      <c r="AC256" s="67" t="str">
        <f t="shared" si="232"/>
        <v>-0,813334469085094-2,04739403024547i</v>
      </c>
      <c r="AD256" s="68">
        <f t="shared" si="233"/>
        <v>6.86040293887425</v>
      </c>
      <c r="AE256" s="31">
        <f t="shared" si="234"/>
        <v>-111.665624101847</v>
      </c>
      <c r="AF256" s="32" t="str">
        <f t="shared" si="235"/>
        <v>432,040091031901</v>
      </c>
      <c r="AG256" s="32" t="str">
        <f t="shared" si="217"/>
        <v>1+25,0088728315577i</v>
      </c>
      <c r="AH256" s="32">
        <f t="shared" si="236"/>
        <v>25.028857750705</v>
      </c>
      <c r="AI256" s="32">
        <f t="shared" si="237"/>
        <v>1.53083180850326</v>
      </c>
      <c r="AJ256" s="32" t="str">
        <f t="shared" si="218"/>
        <v>1+0,23633384825822i</v>
      </c>
      <c r="AK256" s="32">
        <f t="shared" si="238"/>
        <v>1.02754741390971</v>
      </c>
      <c r="AL256" s="32">
        <f t="shared" si="239"/>
        <v>0.232075625921199</v>
      </c>
      <c r="AM256" s="32" t="str">
        <f t="shared" si="219"/>
        <v>1-0,0697712458463189i</v>
      </c>
      <c r="AN256" s="32">
        <f t="shared" si="240"/>
        <v>1.00243105835112</v>
      </c>
      <c r="AO256" s="32">
        <f t="shared" si="241"/>
        <v>-0.0696583592872259</v>
      </c>
      <c r="AP256" s="30" t="str">
        <f t="shared" si="242"/>
        <v>3,57389756194264-17,4174277310894i</v>
      </c>
      <c r="AQ256" s="32">
        <f t="shared" si="243"/>
        <v>24.9987880680207</v>
      </c>
      <c r="AR256" s="31">
        <f t="shared" si="244"/>
        <v>-78.4043778734383</v>
      </c>
      <c r="AS256" t="str">
        <f t="shared" si="220"/>
        <v>-0,000201496259351621</v>
      </c>
      <c r="AT256" t="str">
        <f t="shared" si="221"/>
        <v>0,0033867484504861i</v>
      </c>
      <c r="AU256">
        <f t="shared" si="245"/>
        <v>0.0033867484504861</v>
      </c>
      <c r="AV256">
        <f t="shared" si="246"/>
        <v>1.5707963267949</v>
      </c>
      <c r="AW256" t="str">
        <f t="shared" si="222"/>
        <v>1+0,173395308752798i</v>
      </c>
      <c r="AX256">
        <f t="shared" si="247"/>
        <v>1.01492163889508</v>
      </c>
      <c r="AY256">
        <f t="shared" si="248"/>
        <v>0.171688235467247</v>
      </c>
      <c r="AZ256" t="str">
        <f t="shared" si="223"/>
        <v>1+8,28977146313909i</v>
      </c>
      <c r="BA256">
        <f t="shared" si="249"/>
        <v>8.34986891580192</v>
      </c>
      <c r="BB256">
        <f t="shared" si="250"/>
        <v>1.45074581150116</v>
      </c>
      <c r="BC256" s="30" t="str">
        <f t="shared" si="251"/>
        <v>-0,468793076919283+0,14078201054485i</v>
      </c>
      <c r="BD256" s="32">
        <f t="shared" si="252"/>
        <v>-6.20537614293346</v>
      </c>
      <c r="BE256" s="31">
        <f t="shared" si="253"/>
        <v>163.284600860976</v>
      </c>
      <c r="BF256" s="30" t="str">
        <f t="shared" si="254"/>
        <v>0,669521816282393+0,845301285301718i</v>
      </c>
      <c r="BG256" s="68">
        <f t="shared" si="255"/>
        <v>0.655026795940787</v>
      </c>
      <c r="BH256" s="31">
        <f t="shared" si="256"/>
        <v>51.6189767591297</v>
      </c>
      <c r="BI256" s="30" t="str">
        <f t="shared" si="263"/>
        <v>0,776642059844977+8,66831002232827i</v>
      </c>
      <c r="BJ256" s="68">
        <f t="shared" si="257"/>
        <v>18.7934119250873</v>
      </c>
      <c r="BK256" s="31">
        <f t="shared" si="264"/>
        <v>84.8802229875382</v>
      </c>
      <c r="BL256" s="32">
        <f t="shared" si="258"/>
        <v>0.655026795940787</v>
      </c>
      <c r="BM256" s="31">
        <f t="shared" si="259"/>
        <v>51.6189767591297</v>
      </c>
      <c r="BO256">
        <f t="shared" si="260"/>
        <v>0</v>
      </c>
      <c r="BP256">
        <f t="shared" si="261"/>
        <v>0</v>
      </c>
    </row>
    <row r="257" spans="14:68">
      <c r="N257" s="7">
        <v>39</v>
      </c>
      <c r="O257" s="18">
        <f t="shared" si="262"/>
        <v>2454.70891568503</v>
      </c>
      <c r="P257" s="86" t="str">
        <f t="shared" si="212"/>
        <v>54,5454545454545</v>
      </c>
      <c r="Q257" s="4" t="str">
        <f t="shared" si="213"/>
        <v>1+31,4076325664129i</v>
      </c>
      <c r="R257" s="4">
        <f t="shared" si="224"/>
        <v>31.423548231013</v>
      </c>
      <c r="S257" s="4">
        <f t="shared" si="225"/>
        <v>1.53896768490042</v>
      </c>
      <c r="T257" s="4" t="str">
        <f t="shared" si="214"/>
        <v>1+0,241838770761379i</v>
      </c>
      <c r="U257" s="4">
        <f t="shared" si="226"/>
        <v>1.02882748361588</v>
      </c>
      <c r="V257" s="4">
        <f t="shared" si="227"/>
        <v>0.237282879706007</v>
      </c>
      <c r="W257" t="str">
        <f t="shared" si="215"/>
        <v>1-0,694052594659571i</v>
      </c>
      <c r="X257" s="4">
        <f t="shared" si="228"/>
        <v>1.21725469978706</v>
      </c>
      <c r="Y257" s="4">
        <f t="shared" si="229"/>
        <v>-0.60672325459442</v>
      </c>
      <c r="Z257" t="str">
        <f t="shared" si="216"/>
        <v>0,999950811462361+0,0479226791550656i</v>
      </c>
      <c r="AA257" s="4">
        <f t="shared" si="230"/>
        <v>1.00109850090869</v>
      </c>
      <c r="AB257" s="4">
        <f t="shared" si="231"/>
        <v>0.0478883954450859</v>
      </c>
      <c r="AC257" s="67" t="str">
        <f t="shared" si="232"/>
        <v>-0,816515637125336-2,01209166056439i</v>
      </c>
      <c r="AD257" s="68">
        <f t="shared" si="233"/>
        <v>6.735010981526</v>
      </c>
      <c r="AE257" s="31">
        <f t="shared" si="234"/>
        <v>-112.087530361307</v>
      </c>
      <c r="AF257" s="32" t="str">
        <f t="shared" si="235"/>
        <v>432,040091031901</v>
      </c>
      <c r="AG257" s="32" t="str">
        <f t="shared" si="217"/>
        <v>1+25,5914043133734i</v>
      </c>
      <c r="AH257" s="32">
        <f t="shared" si="236"/>
        <v>25.6109346711624</v>
      </c>
      <c r="AI257" s="32">
        <f t="shared" si="237"/>
        <v>1.53174057645372</v>
      </c>
      <c r="AJ257" s="32" t="str">
        <f t="shared" si="218"/>
        <v>1+0,241838770761379i</v>
      </c>
      <c r="AK257" s="32">
        <f t="shared" si="238"/>
        <v>1.02882748361588</v>
      </c>
      <c r="AL257" s="32">
        <f t="shared" si="239"/>
        <v>0.237282879706007</v>
      </c>
      <c r="AM257" s="32" t="str">
        <f t="shared" si="219"/>
        <v>1-0,0713964269372356i</v>
      </c>
      <c r="AN257" s="32">
        <f t="shared" si="240"/>
        <v>1.0025454851424</v>
      </c>
      <c r="AO257" s="32">
        <f t="shared" si="241"/>
        <v>-0.0712754833909145</v>
      </c>
      <c r="AP257" s="30" t="str">
        <f t="shared" si="242"/>
        <v>3,54311181007493-17,0352811176424i</v>
      </c>
      <c r="AQ257" s="32">
        <f t="shared" si="243"/>
        <v>24.8109052676057</v>
      </c>
      <c r="AR257" s="31">
        <f t="shared" si="244"/>
        <v>-78.2507471629236</v>
      </c>
      <c r="AS257" t="str">
        <f t="shared" si="220"/>
        <v>-0,000201496259351621</v>
      </c>
      <c r="AT257" t="str">
        <f t="shared" si="221"/>
        <v>0,00346563595600013i</v>
      </c>
      <c r="AU257">
        <f t="shared" si="245"/>
        <v>0.00346563595600013</v>
      </c>
      <c r="AV257">
        <f t="shared" si="246"/>
        <v>1.5707963267949</v>
      </c>
      <c r="AW257" t="str">
        <f t="shared" si="222"/>
        <v>1+0,177434204341096i</v>
      </c>
      <c r="AX257">
        <f t="shared" si="247"/>
        <v>1.01561946459792</v>
      </c>
      <c r="AY257">
        <f t="shared" si="248"/>
        <v>0.175606558253175</v>
      </c>
      <c r="AZ257" t="str">
        <f t="shared" si="223"/>
        <v>1+8,48286504583919i</v>
      </c>
      <c r="BA257">
        <f t="shared" si="249"/>
        <v>8.54160402886485</v>
      </c>
      <c r="BB257">
        <f t="shared" si="250"/>
        <v>1.45345319189189</v>
      </c>
      <c r="BC257" s="30" t="str">
        <f t="shared" si="251"/>
        <v>-0,468149088726269+0,141206868604152i</v>
      </c>
      <c r="BD257" s="32">
        <f t="shared" si="252"/>
        <v>-6.21415067407538</v>
      </c>
      <c r="BE257" s="31">
        <f t="shared" si="253"/>
        <v>163.215218972499</v>
      </c>
      <c r="BF257" s="30" t="str">
        <f t="shared" si="254"/>
        <v>0,666372214183801+0,826661261042152i</v>
      </c>
      <c r="BG257" s="68">
        <f t="shared" si="255"/>
        <v>0.520860307450629</v>
      </c>
      <c r="BH257" s="31">
        <f t="shared" si="256"/>
        <v>51.1276886111914</v>
      </c>
      <c r="BI257" s="30" t="str">
        <f t="shared" si="263"/>
        <v>0,746794137271862+8,47536305523518i</v>
      </c>
      <c r="BJ257" s="68">
        <f t="shared" si="257"/>
        <v>18.5967545935303</v>
      </c>
      <c r="BK257" s="31">
        <f t="shared" si="264"/>
        <v>84.9644718095749</v>
      </c>
      <c r="BL257" s="32">
        <f t="shared" si="258"/>
        <v>0.520860307450629</v>
      </c>
      <c r="BM257" s="31">
        <f t="shared" si="259"/>
        <v>51.1276886111914</v>
      </c>
      <c r="BO257">
        <f t="shared" si="260"/>
        <v>0</v>
      </c>
      <c r="BP257">
        <f t="shared" si="261"/>
        <v>0</v>
      </c>
    </row>
    <row r="258" spans="14:68">
      <c r="N258" s="7">
        <v>40</v>
      </c>
      <c r="O258" s="18">
        <f t="shared" si="262"/>
        <v>2511.88643150958</v>
      </c>
      <c r="P258" s="86" t="str">
        <f t="shared" si="212"/>
        <v>54,5454545454545</v>
      </c>
      <c r="Q258" s="4" t="str">
        <f t="shared" si="213"/>
        <v>1+32,1392103093392i</v>
      </c>
      <c r="R258" s="4">
        <f t="shared" si="224"/>
        <v>32.1547638664621</v>
      </c>
      <c r="S258" s="4">
        <f t="shared" si="225"/>
        <v>1.53969172059167</v>
      </c>
      <c r="T258" s="4" t="str">
        <f t="shared" si="214"/>
        <v>1+0,247471919381912i</v>
      </c>
      <c r="U258" s="4">
        <f t="shared" si="226"/>
        <v>1.03016617634368</v>
      </c>
      <c r="V258" s="4">
        <f t="shared" si="227"/>
        <v>0.242597881438763</v>
      </c>
      <c r="W258" t="str">
        <f t="shared" si="215"/>
        <v>1-0,710219156389417i</v>
      </c>
      <c r="X258" s="4">
        <f t="shared" si="228"/>
        <v>1.22654443462212</v>
      </c>
      <c r="Y258" s="4">
        <f t="shared" si="229"/>
        <v>-0.617551582675187</v>
      </c>
      <c r="Z258" t="str">
        <f t="shared" si="216"/>
        <v>0,999948493278002+0,0490389417506978i</v>
      </c>
      <c r="AA258" s="4">
        <f t="shared" si="230"/>
        <v>1.00115024198018</v>
      </c>
      <c r="AB258" s="4">
        <f t="shared" si="231"/>
        <v>0.0490022083715651</v>
      </c>
      <c r="AC258" s="67" t="str">
        <f t="shared" si="232"/>
        <v>-0,819603462118348-1,97784618258859i</v>
      </c>
      <c r="AD258" s="68">
        <f t="shared" si="233"/>
        <v>6.6120911332347</v>
      </c>
      <c r="AE258" s="31">
        <f t="shared" si="234"/>
        <v>-112.508721661306</v>
      </c>
      <c r="AF258" s="32" t="str">
        <f t="shared" si="235"/>
        <v>432,040091031901</v>
      </c>
      <c r="AG258" s="32" t="str">
        <f t="shared" si="217"/>
        <v>1+26,1875046964986i</v>
      </c>
      <c r="AH258" s="32">
        <f t="shared" si="236"/>
        <v>26.2065908166083</v>
      </c>
      <c r="AI258" s="32">
        <f t="shared" si="237"/>
        <v>1.5326287206904</v>
      </c>
      <c r="AJ258" s="32" t="str">
        <f t="shared" si="218"/>
        <v>1+0,247471919381912i</v>
      </c>
      <c r="AK258" s="32">
        <f t="shared" si="238"/>
        <v>1.03016617634368</v>
      </c>
      <c r="AL258" s="32">
        <f t="shared" si="239"/>
        <v>0.242597881438763</v>
      </c>
      <c r="AM258" s="32" t="str">
        <f t="shared" si="219"/>
        <v>1-0,0730594633587584i</v>
      </c>
      <c r="AN258" s="32">
        <f t="shared" si="240"/>
        <v>1.00266529070586</v>
      </c>
      <c r="AO258" s="32">
        <f t="shared" si="241"/>
        <v>-0.0729298886120629</v>
      </c>
      <c r="AP258" s="30" t="str">
        <f t="shared" si="242"/>
        <v>3,51370751521167-16,6620586793874i</v>
      </c>
      <c r="AQ258" s="32">
        <f t="shared" si="243"/>
        <v>24.6235357769168</v>
      </c>
      <c r="AR258" s="31">
        <f t="shared" si="244"/>
        <v>-78.0918973486688</v>
      </c>
      <c r="AS258" t="str">
        <f t="shared" si="220"/>
        <v>-0,000201496259351621</v>
      </c>
      <c r="AT258" t="str">
        <f t="shared" si="221"/>
        <v>0,00354636098757114i</v>
      </c>
      <c r="AU258">
        <f t="shared" si="245"/>
        <v>0.00354636098757114</v>
      </c>
      <c r="AV258">
        <f t="shared" si="246"/>
        <v>1.5707963267949</v>
      </c>
      <c r="AW258" t="str">
        <f t="shared" si="222"/>
        <v>1+0,181567177893155i</v>
      </c>
      <c r="AX258">
        <f t="shared" si="247"/>
        <v>1.01634966428296</v>
      </c>
      <c r="AY258">
        <f t="shared" si="248"/>
        <v>0.17961051726367</v>
      </c>
      <c r="AZ258" t="str">
        <f t="shared" si="223"/>
        <v>1+8,68045635587063i</v>
      </c>
      <c r="BA258">
        <f t="shared" si="249"/>
        <v>8.73786716230997</v>
      </c>
      <c r="BB258">
        <f t="shared" si="250"/>
        <v>1.45610061573169</v>
      </c>
      <c r="BC258" s="30" t="str">
        <f t="shared" si="251"/>
        <v>-0,467476643936267+0,141696167043033i</v>
      </c>
      <c r="BD258" s="32">
        <f t="shared" si="252"/>
        <v>-6.22307325247121</v>
      </c>
      <c r="BE258" s="31">
        <f t="shared" si="253"/>
        <v>163.137495232457</v>
      </c>
      <c r="BF258" s="30" t="str">
        <f t="shared" si="254"/>
        <v>0,663398698903129+0,808462226581302i</v>
      </c>
      <c r="BG258" s="68">
        <f t="shared" si="255"/>
        <v>0.389017880763497</v>
      </c>
      <c r="BH258" s="31">
        <f t="shared" si="256"/>
        <v>50.6287735711504</v>
      </c>
      <c r="BI258" s="30" t="str">
        <f t="shared" si="263"/>
        <v>0,718373652930504+8,28700215952496i</v>
      </c>
      <c r="BJ258" s="68">
        <f t="shared" si="257"/>
        <v>18.4004625244456</v>
      </c>
      <c r="BK258" s="31">
        <f t="shared" si="264"/>
        <v>85.0455978837878</v>
      </c>
      <c r="BL258" s="32">
        <f t="shared" si="258"/>
        <v>0.389017880763497</v>
      </c>
      <c r="BM258" s="31">
        <f t="shared" si="259"/>
        <v>50.6287735711504</v>
      </c>
      <c r="BO258">
        <f t="shared" si="260"/>
        <v>0</v>
      </c>
      <c r="BP258">
        <f t="shared" si="261"/>
        <v>0</v>
      </c>
    </row>
    <row r="259" spans="14:68">
      <c r="N259" s="7">
        <v>41</v>
      </c>
      <c r="O259" s="18">
        <f t="shared" si="262"/>
        <v>2570.39578276887</v>
      </c>
      <c r="P259" s="86" t="str">
        <f t="shared" si="212"/>
        <v>54,5454545454545</v>
      </c>
      <c r="Q259" s="4" t="str">
        <f t="shared" si="213"/>
        <v>1+32,8878286869841i</v>
      </c>
      <c r="R259" s="4">
        <f t="shared" si="224"/>
        <v>32.903028367377</v>
      </c>
      <c r="S259" s="4">
        <f t="shared" si="225"/>
        <v>1.54039930674233</v>
      </c>
      <c r="T259" s="4" t="str">
        <f t="shared" si="214"/>
        <v>1+0,253236280889778i</v>
      </c>
      <c r="U259" s="4">
        <f t="shared" si="226"/>
        <v>1.03156609771691</v>
      </c>
      <c r="V259" s="4">
        <f t="shared" si="227"/>
        <v>0.248022247525237</v>
      </c>
      <c r="W259" t="str">
        <f t="shared" si="215"/>
        <v>1-0,726762285716837i</v>
      </c>
      <c r="X259" s="4">
        <f t="shared" si="228"/>
        <v>1.23619716062623</v>
      </c>
      <c r="Y259" s="4">
        <f t="shared" si="229"/>
        <v>-0.628462348977298</v>
      </c>
      <c r="Z259" t="str">
        <f t="shared" si="216"/>
        <v>0,999946065840979+0,050181205442353i</v>
      </c>
      <c r="AA259" s="4">
        <f t="shared" si="230"/>
        <v>1.00120441867308</v>
      </c>
      <c r="AB259" s="4">
        <f t="shared" si="231"/>
        <v>0.0501418474729993</v>
      </c>
      <c r="AC259" s="67" t="str">
        <f t="shared" si="232"/>
        <v>-0,82260444586234-1,94463977347036i</v>
      </c>
      <c r="AD259" s="68">
        <f t="shared" si="233"/>
        <v>6.49169476216012</v>
      </c>
      <c r="AE259" s="31">
        <f t="shared" si="234"/>
        <v>-112.928907449137</v>
      </c>
      <c r="AF259" s="32" t="str">
        <f t="shared" si="235"/>
        <v>432,040091031901</v>
      </c>
      <c r="AG259" s="32" t="str">
        <f t="shared" si="217"/>
        <v>1+26,7974900412463i</v>
      </c>
      <c r="AH259" s="32">
        <f t="shared" si="236"/>
        <v>26.8161420139194</v>
      </c>
      <c r="AI259" s="32">
        <f t="shared" si="237"/>
        <v>1.53349670651139</v>
      </c>
      <c r="AJ259" s="32" t="str">
        <f t="shared" si="218"/>
        <v>1+0,253236280889778i</v>
      </c>
      <c r="AK259" s="32">
        <f t="shared" si="238"/>
        <v>1.03156609771691</v>
      </c>
      <c r="AL259" s="32">
        <f t="shared" si="239"/>
        <v>0.248022247525237</v>
      </c>
      <c r="AM259" s="32" t="str">
        <f t="shared" si="219"/>
        <v>1-0,0747612368748098i</v>
      </c>
      <c r="AN259" s="32">
        <f t="shared" si="240"/>
        <v>1.0027907271904</v>
      </c>
      <c r="AO259" s="32">
        <f t="shared" si="241"/>
        <v>-0.074622415892295</v>
      </c>
      <c r="AP259" s="30" t="str">
        <f t="shared" si="242"/>
        <v>3,48562286417136-16,2975697270231i</v>
      </c>
      <c r="AQ259" s="32">
        <f t="shared" si="243"/>
        <v>24.4367024411016</v>
      </c>
      <c r="AR259" s="31">
        <f t="shared" si="244"/>
        <v>-77.9278106594676</v>
      </c>
      <c r="AS259" t="str">
        <f t="shared" si="220"/>
        <v>-0,000201496259351621</v>
      </c>
      <c r="AT259" t="str">
        <f t="shared" si="221"/>
        <v>0,00362896634667941i</v>
      </c>
      <c r="AU259">
        <f t="shared" si="245"/>
        <v>0.00362896634667941</v>
      </c>
      <c r="AV259">
        <f t="shared" si="246"/>
        <v>1.5707963267949</v>
      </c>
      <c r="AW259" t="str">
        <f t="shared" si="222"/>
        <v>1+0,185796420766259i</v>
      </c>
      <c r="AX259">
        <f t="shared" si="247"/>
        <v>1.0171137153581</v>
      </c>
      <c r="AY259">
        <f t="shared" si="248"/>
        <v>0.183701721675213</v>
      </c>
      <c r="AZ259" t="str">
        <f t="shared" si="223"/>
        <v>1+8,88265015876133i</v>
      </c>
      <c r="BA259">
        <f t="shared" si="249"/>
        <v>8.93876243352192</v>
      </c>
      <c r="BB259">
        <f t="shared" si="250"/>
        <v>1.45868933819641</v>
      </c>
      <c r="BC259" s="30" t="str">
        <f t="shared" si="251"/>
        <v>-0,466774575185198+0,142249467510447i</v>
      </c>
      <c r="BD259" s="32">
        <f t="shared" si="252"/>
        <v>-6.23216136235296</v>
      </c>
      <c r="BE259" s="31">
        <f t="shared" si="253"/>
        <v>163.051409358109</v>
      </c>
      <c r="BF259" s="30" t="str">
        <f t="shared" si="254"/>
        <v>0,660594813038644+0,790693359754223i</v>
      </c>
      <c r="BG259" s="68">
        <f t="shared" si="255"/>
        <v>0.259533399807159</v>
      </c>
      <c r="BH259" s="31">
        <f t="shared" si="256"/>
        <v>50.1225019089721</v>
      </c>
      <c r="BI259" s="30" t="str">
        <f t="shared" si="263"/>
        <v>0,691320483704017+8,10311918225297i</v>
      </c>
      <c r="BJ259" s="68">
        <f t="shared" si="257"/>
        <v>18.2045410787486</v>
      </c>
      <c r="BK259" s="31">
        <f t="shared" si="264"/>
        <v>85.1235986986414</v>
      </c>
      <c r="BL259" s="32">
        <f t="shared" si="258"/>
        <v>0.259533399807159</v>
      </c>
      <c r="BM259" s="31">
        <f t="shared" si="259"/>
        <v>50.1225019089721</v>
      </c>
      <c r="BO259">
        <f t="shared" si="260"/>
        <v>0</v>
      </c>
      <c r="BP259">
        <f t="shared" si="261"/>
        <v>0</v>
      </c>
    </row>
    <row r="260" spans="14:68">
      <c r="N260" s="7">
        <v>42</v>
      </c>
      <c r="O260" s="18">
        <f t="shared" si="262"/>
        <v>2630.26799189538</v>
      </c>
      <c r="P260" s="86" t="str">
        <f t="shared" si="212"/>
        <v>54,5454545454545</v>
      </c>
      <c r="Q260" s="4" t="str">
        <f t="shared" si="213"/>
        <v>1+33,6538846267207i</v>
      </c>
      <c r="R260" s="4">
        <f t="shared" si="224"/>
        <v>33.6687384745646</v>
      </c>
      <c r="S260" s="4">
        <f t="shared" si="225"/>
        <v>1.54109081568813</v>
      </c>
      <c r="T260" s="4" t="str">
        <f t="shared" si="214"/>
        <v>1+0,25913491162575i</v>
      </c>
      <c r="U260" s="4">
        <f t="shared" si="226"/>
        <v>1.03302996201625</v>
      </c>
      <c r="V260" s="4">
        <f t="shared" si="227"/>
        <v>0.253557576649151</v>
      </c>
      <c r="W260" t="str">
        <f t="shared" si="215"/>
        <v>1-0,743690754027982i</v>
      </c>
      <c r="X260" s="4">
        <f t="shared" si="228"/>
        <v>1.24622467381556</v>
      </c>
      <c r="Y260" s="4">
        <f t="shared" si="229"/>
        <v>-0.639450947788523</v>
      </c>
      <c r="Z260" t="str">
        <f t="shared" si="216"/>
        <v>0,999943524002374+0,0513500758733606i</v>
      </c>
      <c r="AA260" s="4">
        <f t="shared" si="230"/>
        <v>1.00126114549926</v>
      </c>
      <c r="AB260" s="4">
        <f t="shared" si="231"/>
        <v>0.0513079059162853</v>
      </c>
      <c r="AC260" s="67" t="str">
        <f t="shared" si="232"/>
        <v>-0,825524907197216-1,91245511573209i</v>
      </c>
      <c r="AD260" s="68">
        <f t="shared" si="233"/>
        <v>6.37387242144584</v>
      </c>
      <c r="AE260" s="31">
        <f t="shared" si="234"/>
        <v>-113.347787558322</v>
      </c>
      <c r="AF260" s="32" t="str">
        <f t="shared" si="235"/>
        <v>432,040091031901</v>
      </c>
      <c r="AG260" s="32" t="str">
        <f t="shared" si="217"/>
        <v>1+27,4216837699206i</v>
      </c>
      <c r="AH260" s="32">
        <f t="shared" si="236"/>
        <v>27.4399114571736</v>
      </c>
      <c r="AI260" s="32">
        <f t="shared" si="237"/>
        <v>1.53434498889974</v>
      </c>
      <c r="AJ260" s="32" t="str">
        <f t="shared" si="218"/>
        <v>1+0,25913491162575i</v>
      </c>
      <c r="AK260" s="32">
        <f t="shared" si="238"/>
        <v>1.03302996201625</v>
      </c>
      <c r="AL260" s="32">
        <f t="shared" si="239"/>
        <v>0.253557576649151</v>
      </c>
      <c r="AM260" s="32" t="str">
        <f t="shared" si="219"/>
        <v>1-0,0765026497882343i</v>
      </c>
      <c r="AN260" s="32">
        <f t="shared" si="240"/>
        <v>1.00292205849937</v>
      </c>
      <c r="AO260" s="32">
        <f t="shared" si="241"/>
        <v>-0.0763539238222839</v>
      </c>
      <c r="AP260" s="30" t="str">
        <f t="shared" si="242"/>
        <v>3,45879879401671-15,9416277236668i</v>
      </c>
      <c r="AQ260" s="32">
        <f t="shared" si="243"/>
        <v>24.2504288925714</v>
      </c>
      <c r="AR260" s="31">
        <f t="shared" si="244"/>
        <v>-77.7584707597213</v>
      </c>
      <c r="AS260" t="str">
        <f t="shared" si="220"/>
        <v>-0,000201496259351621</v>
      </c>
      <c r="AT260" t="str">
        <f t="shared" si="221"/>
        <v>0,00371349583177972i</v>
      </c>
      <c r="AU260">
        <f t="shared" si="245"/>
        <v>0.00371349583177972</v>
      </c>
      <c r="AV260">
        <f t="shared" si="246"/>
        <v>1.5707963267949</v>
      </c>
      <c r="AW260" t="str">
        <f t="shared" si="222"/>
        <v>1+0,190124175360958i</v>
      </c>
      <c r="AX260">
        <f t="shared" si="247"/>
        <v>1.0179131603711</v>
      </c>
      <c r="AY260">
        <f t="shared" si="248"/>
        <v>0.187881792602578</v>
      </c>
      <c r="AZ260" t="str">
        <f t="shared" si="223"/>
        <v>1+9,08955366034198i</v>
      </c>
      <c r="BA260">
        <f t="shared" si="249"/>
        <v>9.14439641224265</v>
      </c>
      <c r="BB260">
        <f t="shared" si="250"/>
        <v>1.46122059299963</v>
      </c>
      <c r="BC260" s="30" t="str">
        <f t="shared" si="251"/>
        <v>-0,466041675592036+0,142866321239475i</v>
      </c>
      <c r="BD260" s="32">
        <f t="shared" si="252"/>
        <v>-6.24143274665176</v>
      </c>
      <c r="BE260" s="31">
        <f t="shared" si="253"/>
        <v>162.956939153002</v>
      </c>
      <c r="BF260" s="30" t="str">
        <f t="shared" si="254"/>
        <v>0,657954437913409+0,773344080047519i</v>
      </c>
      <c r="BG260" s="68">
        <f t="shared" si="255"/>
        <v>0.132439674794074</v>
      </c>
      <c r="BH260" s="31">
        <f t="shared" si="256"/>
        <v>49.6091515946798</v>
      </c>
      <c r="BI260" s="30" t="str">
        <f t="shared" si="263"/>
        <v>0,665577321950241+7,92360875561083i</v>
      </c>
      <c r="BJ260" s="68">
        <f t="shared" si="257"/>
        <v>18.0089961459197</v>
      </c>
      <c r="BK260" s="31">
        <f t="shared" si="264"/>
        <v>85.1984683932807</v>
      </c>
      <c r="BL260" s="32">
        <f t="shared" si="258"/>
        <v>0.132439674794074</v>
      </c>
      <c r="BM260" s="31">
        <f t="shared" si="259"/>
        <v>49.6091515946798</v>
      </c>
      <c r="BO260">
        <f t="shared" si="260"/>
        <v>0</v>
      </c>
      <c r="BP260">
        <f t="shared" si="261"/>
        <v>0</v>
      </c>
    </row>
    <row r="261" spans="14:68">
      <c r="N261" s="7">
        <v>43</v>
      </c>
      <c r="O261" s="18">
        <f t="shared" si="262"/>
        <v>2691.53480392692</v>
      </c>
      <c r="P261" s="86" t="str">
        <f t="shared" si="212"/>
        <v>54,5454545454545</v>
      </c>
      <c r="Q261" s="4" t="str">
        <f t="shared" si="213"/>
        <v>1+34,4377843015484i</v>
      </c>
      <c r="R261" s="4">
        <f t="shared" si="224"/>
        <v>34.4523001786524</v>
      </c>
      <c r="S261" s="4">
        <f t="shared" si="225"/>
        <v>1.54176661142941</v>
      </c>
      <c r="T261" s="4" t="str">
        <f t="shared" si="214"/>
        <v>1+0,265170939121923i</v>
      </c>
      <c r="U261" s="4">
        <f t="shared" si="226"/>
        <v>1.03456059607681</v>
      </c>
      <c r="V261" s="4">
        <f t="shared" si="227"/>
        <v>0.259205446329755</v>
      </c>
      <c r="W261" t="str">
        <f t="shared" si="215"/>
        <v>1-0,761013537020825i</v>
      </c>
      <c r="X261" s="4">
        <f t="shared" si="228"/>
        <v>1.25663901082568</v>
      </c>
      <c r="Y261" s="4">
        <f t="shared" si="229"/>
        <v>-0.650512590796092</v>
      </c>
      <c r="Z261" t="str">
        <f t="shared" si="216"/>
        <v>0,999940862370606+0,052546172794295i</v>
      </c>
      <c r="AA261" s="4">
        <f t="shared" si="230"/>
        <v>1.00132054234086</v>
      </c>
      <c r="AB261" s="4">
        <f t="shared" si="231"/>
        <v>0.0525009900873721</v>
      </c>
      <c r="AC261" s="67" t="str">
        <f t="shared" si="232"/>
        <v>-0,828370995014596-1,8812753894631i</v>
      </c>
      <c r="AD261" s="68">
        <f t="shared" si="233"/>
        <v>6.25867375364427</v>
      </c>
      <c r="AE261" s="31">
        <f t="shared" si="234"/>
        <v>-113.765052852593</v>
      </c>
      <c r="AF261" s="32" t="str">
        <f t="shared" si="235"/>
        <v>432,040091031901</v>
      </c>
      <c r="AG261" s="32" t="str">
        <f t="shared" si="217"/>
        <v>1+28,0604168382987i</v>
      </c>
      <c r="AH261" s="32">
        <f t="shared" si="236"/>
        <v>28.0782298790197</v>
      </c>
      <c r="AI261" s="32">
        <f t="shared" si="237"/>
        <v>1.53517401273995</v>
      </c>
      <c r="AJ261" s="32" t="str">
        <f t="shared" si="218"/>
        <v>1+0,265170939121923i</v>
      </c>
      <c r="AK261" s="32">
        <f t="shared" si="238"/>
        <v>1.03456059607681</v>
      </c>
      <c r="AL261" s="32">
        <f t="shared" si="239"/>
        <v>0.259205446329755</v>
      </c>
      <c r="AM261" s="32" t="str">
        <f t="shared" si="219"/>
        <v>1-0,078284625419209i</v>
      </c>
      <c r="AN261" s="32">
        <f t="shared" si="240"/>
        <v>1.00305956083227</v>
      </c>
      <c r="AO261" s="32">
        <f t="shared" si="241"/>
        <v>-0.0781252889170728</v>
      </c>
      <c r="AP261" s="30" t="str">
        <f t="shared" si="242"/>
        <v>3,43317887105917-15,5940502176231i</v>
      </c>
      <c r="AQ261" s="32">
        <f t="shared" si="243"/>
        <v>24.0647395714379</v>
      </c>
      <c r="AR261" s="31">
        <f t="shared" si="244"/>
        <v>-77.5838629748508</v>
      </c>
      <c r="AS261" t="str">
        <f t="shared" si="220"/>
        <v>-0,000201496259351621</v>
      </c>
      <c r="AT261" t="str">
        <f t="shared" si="221"/>
        <v>0,00379999426152399i</v>
      </c>
      <c r="AU261">
        <f t="shared" si="245"/>
        <v>0.00379999426152399</v>
      </c>
      <c r="AV261">
        <f t="shared" si="246"/>
        <v>1.5707963267949</v>
      </c>
      <c r="AW261" t="str">
        <f t="shared" si="222"/>
        <v>1+0,194552736310026i</v>
      </c>
      <c r="AX261">
        <f t="shared" si="247"/>
        <v>1.01874960967144</v>
      </c>
      <c r="AY261">
        <f t="shared" si="248"/>
        <v>0.192152361783309</v>
      </c>
      <c r="AZ261" t="str">
        <f t="shared" si="223"/>
        <v>1+9,30127656358784i</v>
      </c>
      <c r="BA261">
        <f t="shared" si="249"/>
        <v>9.35487817731201</v>
      </c>
      <c r="BB261">
        <f t="shared" si="250"/>
        <v>1.46369559242868</v>
      </c>
      <c r="BC261" s="30" t="str">
        <f t="shared" si="251"/>
        <v>-0,465276698216075+0,143546266262566i</v>
      </c>
      <c r="BD261" s="32">
        <f t="shared" si="252"/>
        <v>-6.25090543287961</v>
      </c>
      <c r="BE261" s="31">
        <f t="shared" si="253"/>
        <v>162.85406058441</v>
      </c>
      <c r="BF261" s="30" t="str">
        <f t="shared" si="254"/>
        <v>0,655471779427439+0,75640403823i</v>
      </c>
      <c r="BG261" s="68">
        <f t="shared" si="255"/>
        <v>0.00776832076466205</v>
      </c>
      <c r="BH261" s="31">
        <f t="shared" si="256"/>
        <v>49.0890077318169</v>
      </c>
      <c r="BI261" s="30" t="str">
        <f t="shared" si="263"/>
        <v>0,641089555139148+7,74836820542342i</v>
      </c>
      <c r="BJ261" s="68">
        <f t="shared" si="257"/>
        <v>17.8138341385583</v>
      </c>
      <c r="BK261" s="31">
        <f t="shared" si="264"/>
        <v>85.270197609559</v>
      </c>
      <c r="BL261" s="32">
        <f t="shared" si="258"/>
        <v>0.00776832076466205</v>
      </c>
      <c r="BM261" s="31">
        <f t="shared" si="259"/>
        <v>49.0890077318169</v>
      </c>
      <c r="BO261">
        <f t="shared" si="260"/>
        <v>2691.53480392692</v>
      </c>
      <c r="BP261">
        <f t="shared" si="261"/>
        <v>49.0890077318169</v>
      </c>
    </row>
    <row r="262" spans="14:68">
      <c r="N262" s="7">
        <v>44</v>
      </c>
      <c r="O262" s="18">
        <f t="shared" si="262"/>
        <v>2754.22870333817</v>
      </c>
      <c r="P262" s="86" t="str">
        <f t="shared" si="212"/>
        <v>54,5454545454545</v>
      </c>
      <c r="Q262" s="4" t="str">
        <f t="shared" si="213"/>
        <v>1+35,2399433454507i</v>
      </c>
      <c r="R262" s="4">
        <f t="shared" si="224"/>
        <v>35.2541289353542</v>
      </c>
      <c r="S262" s="4">
        <f t="shared" si="225"/>
        <v>1.54242704981151</v>
      </c>
      <c r="T262" s="4" t="str">
        <f t="shared" si="214"/>
        <v>1+0,271347563759971i</v>
      </c>
      <c r="U262" s="4">
        <f t="shared" si="226"/>
        <v>1.03616094327014</v>
      </c>
      <c r="V262" s="4">
        <f t="shared" si="227"/>
        <v>0.264967409278855</v>
      </c>
      <c r="W262" t="str">
        <f t="shared" si="215"/>
        <v>1-0,778739819464202i</v>
      </c>
      <c r="X262" s="4">
        <f t="shared" si="228"/>
        <v>1.26745244739956</v>
      </c>
      <c r="Y262" s="4">
        <f t="shared" si="229"/>
        <v>-0.661642315418575</v>
      </c>
      <c r="Z262" t="str">
        <f t="shared" si="216"/>
        <v>0,999938075299998+0,0537701303915758i</v>
      </c>
      <c r="AA262" s="4">
        <f t="shared" si="230"/>
        <v>1.00138273470087</v>
      </c>
      <c r="AB262" s="4">
        <f t="shared" si="231"/>
        <v>0.0537217198568374</v>
      </c>
      <c r="AC262" s="67" t="str">
        <f t="shared" si="232"/>
        <v>-0,831148700914718-1,85108426457365i</v>
      </c>
      <c r="AD262" s="68">
        <f t="shared" si="233"/>
        <v>6.14614739758342</v>
      </c>
      <c r="AE262" s="31">
        <f t="shared" si="234"/>
        <v>-114.180385937549</v>
      </c>
      <c r="AF262" s="32" t="str">
        <f t="shared" si="235"/>
        <v>432,040091031901</v>
      </c>
      <c r="AG262" s="32" t="str">
        <f t="shared" si="217"/>
        <v>1+28,714027911108i</v>
      </c>
      <c r="AH262" s="32">
        <f t="shared" si="236"/>
        <v>28.7314357260456</v>
      </c>
      <c r="AI262" s="32">
        <f t="shared" si="237"/>
        <v>1.53598421303066</v>
      </c>
      <c r="AJ262" s="32" t="str">
        <f t="shared" si="218"/>
        <v>1+0,271347563759971i</v>
      </c>
      <c r="AK262" s="32">
        <f t="shared" si="238"/>
        <v>1.03616094327014</v>
      </c>
      <c r="AL262" s="32">
        <f t="shared" si="239"/>
        <v>0.264967409278855</v>
      </c>
      <c r="AM262" s="32" t="str">
        <f t="shared" si="219"/>
        <v>1-0,0801081085948005i</v>
      </c>
      <c r="AN262" s="32">
        <f t="shared" si="240"/>
        <v>1.00320352325071</v>
      </c>
      <c r="AO262" s="32">
        <f t="shared" si="241"/>
        <v>-0.0799374058884507</v>
      </c>
      <c r="AP262" s="30" t="str">
        <f t="shared" si="242"/>
        <v>3,40870917506555-15,2546587752309i</v>
      </c>
      <c r="AQ262" s="32">
        <f t="shared" si="243"/>
        <v>23.8796597453457</v>
      </c>
      <c r="AR262" s="31">
        <f t="shared" si="244"/>
        <v>-77.4039745278183</v>
      </c>
      <c r="AS262" t="str">
        <f t="shared" si="220"/>
        <v>-0,000201496259351621</v>
      </c>
      <c r="AT262" t="str">
        <f t="shared" si="221"/>
        <v>0,00388850749852457i</v>
      </c>
      <c r="AU262">
        <f t="shared" si="245"/>
        <v>0.00388850749852457</v>
      </c>
      <c r="AV262">
        <f t="shared" si="246"/>
        <v>1.5707963267949</v>
      </c>
      <c r="AW262" t="str">
        <f t="shared" si="222"/>
        <v>1+0,199084451695096i</v>
      </c>
      <c r="AX262">
        <f t="shared" si="247"/>
        <v>1.01962474416166</v>
      </c>
      <c r="AY262">
        <f t="shared" si="248"/>
        <v>0.196515070143651</v>
      </c>
      <c r="AZ262" t="str">
        <f t="shared" si="223"/>
        <v>1+9,51793112678467i</v>
      </c>
      <c r="BA262">
        <f t="shared" si="249"/>
        <v>9.57031937472394</v>
      </c>
      <c r="BB262">
        <f t="shared" si="250"/>
        <v>1.46611552740779</v>
      </c>
      <c r="BC262" s="30" t="str">
        <f t="shared" si="251"/>
        <v>-0,464478355592176+0,144288824505321i</v>
      </c>
      <c r="BD262" s="32">
        <f t="shared" si="252"/>
        <v>-6.26059775888793</v>
      </c>
      <c r="BE262" s="31">
        <f t="shared" si="253"/>
        <v>162.742747869114</v>
      </c>
      <c r="BF262" s="30" t="str">
        <f t="shared" si="254"/>
        <v>0,65314135444907+0,739863106227612i</v>
      </c>
      <c r="BG262" s="68">
        <f t="shared" si="255"/>
        <v>-0.114450361304515</v>
      </c>
      <c r="BH262" s="31">
        <f t="shared" si="256"/>
        <v>48.5623619315653</v>
      </c>
      <c r="BI262" s="30" t="str">
        <f t="shared" si="263"/>
        <v>0,617805150581437+7,57729746298972i</v>
      </c>
      <c r="BJ262" s="68">
        <f t="shared" si="257"/>
        <v>17.6190619864578</v>
      </c>
      <c r="BK262" s="31">
        <f t="shared" si="264"/>
        <v>85.3387733412962</v>
      </c>
      <c r="BL262" s="32">
        <f t="shared" si="258"/>
        <v>-0.114450361304515</v>
      </c>
      <c r="BM262" s="31">
        <f t="shared" si="259"/>
        <v>48.5623619315653</v>
      </c>
      <c r="BO262">
        <f t="shared" si="260"/>
        <v>0</v>
      </c>
      <c r="BP262">
        <f t="shared" si="261"/>
        <v>0</v>
      </c>
    </row>
    <row r="263" spans="14:68">
      <c r="N263" s="7">
        <v>45</v>
      </c>
      <c r="O263" s="18">
        <f t="shared" si="262"/>
        <v>2818.38293126446</v>
      </c>
      <c r="P263" s="86" t="str">
        <f t="shared" si="212"/>
        <v>54,5454545454545</v>
      </c>
      <c r="Q263" s="4" t="str">
        <f t="shared" si="213"/>
        <v>1+36,0607870737705i</v>
      </c>
      <c r="R263" s="4">
        <f t="shared" si="224"/>
        <v>36.0746498857551</v>
      </c>
      <c r="S263" s="4">
        <f t="shared" si="225"/>
        <v>1.54307247870173</v>
      </c>
      <c r="T263" s="4" t="str">
        <f t="shared" si="214"/>
        <v>1+0,277668060468033i</v>
      </c>
      <c r="U263" s="4">
        <f t="shared" si="226"/>
        <v>1.03783406756768</v>
      </c>
      <c r="V263" s="4">
        <f t="shared" si="227"/>
        <v>0.270844989553135</v>
      </c>
      <c r="W263" t="str">
        <f t="shared" si="215"/>
        <v>1-0,796879000067698i</v>
      </c>
      <c r="X263" s="4">
        <f t="shared" si="228"/>
        <v>1.27867749677113</v>
      </c>
      <c r="Y263" s="4">
        <f t="shared" si="229"/>
        <v>-0.672834994098967</v>
      </c>
      <c r="Z263" t="str">
        <f t="shared" si="216"/>
        <v>0,999935156878798+0,055022597623722i</v>
      </c>
      <c r="AA263" s="4">
        <f t="shared" si="230"/>
        <v>1.00144785396519</v>
      </c>
      <c r="AB263" s="4">
        <f t="shared" si="231"/>
        <v>0.054970728848672</v>
      </c>
      <c r="AC263" s="67" t="str">
        <f t="shared" si="232"/>
        <v>-0,833863871533754-1,82186589310756i</v>
      </c>
      <c r="AD263" s="68">
        <f t="shared" si="233"/>
        <v>6.0363408983262</v>
      </c>
      <c r="AE263" s="31">
        <f t="shared" si="234"/>
        <v>-114.593461939108</v>
      </c>
      <c r="AF263" s="32" t="str">
        <f t="shared" si="235"/>
        <v>432,040091031901</v>
      </c>
      <c r="AG263" s="32" t="str">
        <f t="shared" si="217"/>
        <v>1+29,3828635415908i</v>
      </c>
      <c r="AH263" s="32">
        <f t="shared" si="236"/>
        <v>29.3998753382348</v>
      </c>
      <c r="AI263" s="32">
        <f t="shared" si="237"/>
        <v>1.53677601509366</v>
      </c>
      <c r="AJ263" s="32" t="str">
        <f t="shared" si="218"/>
        <v>1+0,277668060468033i</v>
      </c>
      <c r="AK263" s="32">
        <f t="shared" si="238"/>
        <v>1.03783406756768</v>
      </c>
      <c r="AL263" s="32">
        <f t="shared" si="239"/>
        <v>0.270844989553135</v>
      </c>
      <c r="AM263" s="32" t="str">
        <f t="shared" si="219"/>
        <v>1-0,081974066149925i</v>
      </c>
      <c r="AN263" s="32">
        <f t="shared" si="240"/>
        <v>1.00335424826985</v>
      </c>
      <c r="AO263" s="32">
        <f t="shared" si="241"/>
        <v>-0.0817911879136826</v>
      </c>
      <c r="AP263" s="30" t="str">
        <f t="shared" si="242"/>
        <v>3,38533818845402-14,9232789138888i</v>
      </c>
      <c r="AQ263" s="32">
        <f t="shared" si="243"/>
        <v>23.695215528591</v>
      </c>
      <c r="AR263" s="31">
        <f t="shared" si="244"/>
        <v>-77.2187947869553</v>
      </c>
      <c r="AS263" t="str">
        <f t="shared" si="220"/>
        <v>-0,000201496259351621</v>
      </c>
      <c r="AT263" t="str">
        <f t="shared" si="221"/>
        <v>0,00397908247367136i</v>
      </c>
      <c r="AU263">
        <f t="shared" si="245"/>
        <v>0.00397908247367136</v>
      </c>
      <c r="AV263">
        <f t="shared" si="246"/>
        <v>1.5707963267949</v>
      </c>
      <c r="AW263" t="str">
        <f t="shared" si="222"/>
        <v>1+0,203721724291648i</v>
      </c>
      <c r="AX263">
        <f t="shared" si="247"/>
        <v>1.02054031813954</v>
      </c>
      <c r="AY263">
        <f t="shared" si="248"/>
        <v>0.200971566239704</v>
      </c>
      <c r="AZ263" t="str">
        <f t="shared" si="223"/>
        <v>1+9,73963222304962i</v>
      </c>
      <c r="BA263">
        <f t="shared" si="249"/>
        <v>9.79083427703005</v>
      </c>
      <c r="BB263">
        <f t="shared" si="250"/>
        <v>1.46848156758592</v>
      </c>
      <c r="BC263" s="30" t="str">
        <f t="shared" si="251"/>
        <v>-0,463645319354474+0,145093498755966i</v>
      </c>
      <c r="BD263" s="32">
        <f t="shared" si="252"/>
        <v>-6.27052839847711</v>
      </c>
      <c r="BE263" s="31">
        <f t="shared" si="253"/>
        <v>162.62297356776</v>
      </c>
      <c r="BF263" s="30" t="str">
        <f t="shared" si="254"/>
        <v>0,650957977710564+0,723711367223851i</v>
      </c>
      <c r="BG263" s="68">
        <f t="shared" si="255"/>
        <v>-0.234187500150916</v>
      </c>
      <c r="BH263" s="31">
        <f t="shared" si="256"/>
        <v>48.0295116286521</v>
      </c>
      <c r="BI263" s="30" t="str">
        <f t="shared" si="263"/>
        <v>0,595674545018598+7,41029898008084i</v>
      </c>
      <c r="BJ263" s="68">
        <f t="shared" si="257"/>
        <v>17.4246871301139</v>
      </c>
      <c r="BK263" s="31">
        <f t="shared" si="264"/>
        <v>85.4041787808044</v>
      </c>
      <c r="BL263" s="32">
        <f t="shared" si="258"/>
        <v>-0.234187500150916</v>
      </c>
      <c r="BM263" s="31">
        <f t="shared" si="259"/>
        <v>48.0295116286521</v>
      </c>
      <c r="BO263">
        <f t="shared" si="260"/>
        <v>0</v>
      </c>
      <c r="BP263">
        <f t="shared" si="261"/>
        <v>0</v>
      </c>
    </row>
    <row r="264" spans="14:68">
      <c r="N264" s="7">
        <v>46</v>
      </c>
      <c r="O264" s="18">
        <f t="shared" si="262"/>
        <v>2884.03150312661</v>
      </c>
      <c r="P264" s="86" t="str">
        <f t="shared" si="212"/>
        <v>54,5454545454545</v>
      </c>
      <c r="Q264" s="4" t="str">
        <f t="shared" si="213"/>
        <v>1+36,9007507087178i</v>
      </c>
      <c r="R264" s="4">
        <f t="shared" si="224"/>
        <v>36.9142980817317</v>
      </c>
      <c r="S264" s="4">
        <f t="shared" si="225"/>
        <v>1.54370323816281</v>
      </c>
      <c r="T264" s="4" t="str">
        <f t="shared" si="214"/>
        <v>1+0,284135780457127i</v>
      </c>
      <c r="U264" s="4">
        <f t="shared" si="226"/>
        <v>1.03958315768195</v>
      </c>
      <c r="V264" s="4">
        <f t="shared" si="227"/>
        <v>0.276839678498291</v>
      </c>
      <c r="W264" t="str">
        <f t="shared" si="215"/>
        <v>1-0,81544069646497i</v>
      </c>
      <c r="X264" s="4">
        <f t="shared" si="228"/>
        <v>1.29032690797769</v>
      </c>
      <c r="Y264" s="4">
        <f t="shared" si="229"/>
        <v>-0.684085344529933</v>
      </c>
      <c r="Z264" t="str">
        <f t="shared" si="216"/>
        <v>0,999932100916645+0,0563042385654383i</v>
      </c>
      <c r="AA264" s="4">
        <f t="shared" si="230"/>
        <v>1.00151603767689</v>
      </c>
      <c r="AB264" s="4">
        <f t="shared" si="231"/>
        <v>0.0562486647121386</v>
      </c>
      <c r="AC264" s="67" t="str">
        <f t="shared" si="232"/>
        <v>-0,836522220564642-1,79360490161425i</v>
      </c>
      <c r="AD264" s="68">
        <f t="shared" si="233"/>
        <v>5.92930062085926</v>
      </c>
      <c r="AE264" s="31">
        <f t="shared" si="234"/>
        <v>-115.003949347267</v>
      </c>
      <c r="AF264" s="32" t="str">
        <f t="shared" si="235"/>
        <v>432,040091031901</v>
      </c>
      <c r="AG264" s="32" t="str">
        <f t="shared" si="217"/>
        <v>1+30,0672783552515i</v>
      </c>
      <c r="AH264" s="32">
        <f t="shared" si="236"/>
        <v>30.0839031326086</v>
      </c>
      <c r="AI264" s="32">
        <f t="shared" si="237"/>
        <v>1.53754983477925</v>
      </c>
      <c r="AJ264" s="32" t="str">
        <f t="shared" si="218"/>
        <v>1+0,284135780457127i</v>
      </c>
      <c r="AK264" s="32">
        <f t="shared" si="238"/>
        <v>1.03958315768195</v>
      </c>
      <c r="AL264" s="32">
        <f t="shared" si="239"/>
        <v>0.276839678498291</v>
      </c>
      <c r="AM264" s="32" t="str">
        <f t="shared" si="219"/>
        <v>1-0,0838834874399773i</v>
      </c>
      <c r="AN264" s="32">
        <f t="shared" si="240"/>
        <v>1.00351205247625</v>
      </c>
      <c r="AO264" s="32">
        <f t="shared" si="241"/>
        <v>-0.0836875668998426</v>
      </c>
      <c r="AP264" s="30" t="str">
        <f t="shared" si="242"/>
        <v>3,36301669027416-14,5997400353535i</v>
      </c>
      <c r="AQ264" s="32">
        <f t="shared" si="243"/>
        <v>23.511433900404</v>
      </c>
      <c r="AR264" s="31">
        <f t="shared" si="244"/>
        <v>-77.0283155252573</v>
      </c>
      <c r="AS264" t="str">
        <f t="shared" si="220"/>
        <v>-0,000201496259351621</v>
      </c>
      <c r="AT264" t="str">
        <f t="shared" si="221"/>
        <v>0,00407176721101507i</v>
      </c>
      <c r="AU264">
        <f t="shared" si="245"/>
        <v>0.00407176721101507</v>
      </c>
      <c r="AV264">
        <f t="shared" si="246"/>
        <v>1.5707963267949</v>
      </c>
      <c r="AW264" t="str">
        <f t="shared" si="222"/>
        <v>1+0,208467012842995i</v>
      </c>
      <c r="AX264">
        <f t="shared" si="247"/>
        <v>1.02149816223216</v>
      </c>
      <c r="AY264">
        <f t="shared" si="248"/>
        <v>0.205523504567431</v>
      </c>
      <c r="AZ264" t="str">
        <f t="shared" si="223"/>
        <v>1+9,9664974012385i</v>
      </c>
      <c r="BA264">
        <f t="shared" si="249"/>
        <v>10.0165398441225</v>
      </c>
      <c r="BB264">
        <f t="shared" si="250"/>
        <v>1.47079486144749</v>
      </c>
      <c r="BC264" s="30" t="str">
        <f t="shared" si="251"/>
        <v>-0,462776219959927+0,145959769508171i</v>
      </c>
      <c r="BD264" s="32">
        <f t="shared" si="252"/>
        <v>-6.28071638682449</v>
      </c>
      <c r="BE264" s="31">
        <f t="shared" si="253"/>
        <v>162.494708688019</v>
      </c>
      <c r="BF264" s="30" t="str">
        <f t="shared" si="254"/>
        <v>0,648916749173731+0,707939105968561i</v>
      </c>
      <c r="BG264" s="68">
        <f t="shared" si="255"/>
        <v>-0.351415765965229</v>
      </c>
      <c r="BH264" s="31">
        <f t="shared" si="256"/>
        <v>47.4907593407517</v>
      </c>
      <c r="BI264" s="30" t="str">
        <f t="shared" si="263"/>
        <v>0,574650538852193+7,24727764692305i</v>
      </c>
      <c r="BJ264" s="68">
        <f t="shared" si="257"/>
        <v>17.2307175135795</v>
      </c>
      <c r="BK264" s="31">
        <f t="shared" si="264"/>
        <v>85.4663931627613</v>
      </c>
      <c r="BL264" s="32">
        <f t="shared" si="258"/>
        <v>-0.351415765965229</v>
      </c>
      <c r="BM264" s="31">
        <f t="shared" si="259"/>
        <v>47.4907593407517</v>
      </c>
      <c r="BO264">
        <f t="shared" si="260"/>
        <v>0</v>
      </c>
      <c r="BP264">
        <f t="shared" si="261"/>
        <v>0</v>
      </c>
    </row>
    <row r="265" spans="14:68">
      <c r="N265" s="7">
        <v>47</v>
      </c>
      <c r="O265" s="18">
        <f t="shared" si="262"/>
        <v>2951.20922666639</v>
      </c>
      <c r="P265" s="86" t="str">
        <f t="shared" si="212"/>
        <v>54,5454545454545</v>
      </c>
      <c r="Q265" s="4" t="str">
        <f t="shared" si="213"/>
        <v>1+37,7602796101299i</v>
      </c>
      <c r="R265" s="4">
        <f t="shared" si="224"/>
        <v>37.7735187166246</v>
      </c>
      <c r="S265" s="4">
        <f t="shared" si="225"/>
        <v>1.544319660623</v>
      </c>
      <c r="T265" s="4" t="str">
        <f t="shared" si="214"/>
        <v>1+0,290754152998001i</v>
      </c>
      <c r="U265" s="4">
        <f t="shared" si="226"/>
        <v>1.04141153128126</v>
      </c>
      <c r="V265" s="4">
        <f t="shared" si="227"/>
        <v>0.282952930482229</v>
      </c>
      <c r="W265" t="str">
        <f t="shared" si="215"/>
        <v>1-0,83443475031314i</v>
      </c>
      <c r="X265" s="4">
        <f t="shared" si="228"/>
        <v>1.30241366413676</v>
      </c>
      <c r="Y265" s="4">
        <f t="shared" si="229"/>
        <v>-0.695387940772879</v>
      </c>
      <c r="Z265" t="str">
        <f t="shared" si="216"/>
        <v>0,999928900931432+0,0576157327597168i</v>
      </c>
      <c r="AA265" s="4">
        <f t="shared" si="230"/>
        <v>1.00158742982297</v>
      </c>
      <c r="AB265" s="4">
        <f t="shared" si="231"/>
        <v>0.0575561893965565</v>
      </c>
      <c r="AC265" s="67" t="str">
        <f t="shared" si="232"/>
        <v>-0,839129340493636-1,76628638357988i</v>
      </c>
      <c r="AD265" s="68">
        <f t="shared" si="233"/>
        <v>5.82507166812228</v>
      </c>
      <c r="AE265" s="31">
        <f t="shared" si="234"/>
        <v>-115.411510923141</v>
      </c>
      <c r="AF265" s="32" t="str">
        <f t="shared" si="235"/>
        <v>432,040091031901</v>
      </c>
      <c r="AG265" s="32" t="str">
        <f t="shared" si="217"/>
        <v>1+30,7676352378836i</v>
      </c>
      <c r="AH265" s="32">
        <f t="shared" si="236"/>
        <v>30.7838817911494</v>
      </c>
      <c r="AI265" s="32">
        <f t="shared" si="237"/>
        <v>1.53830607866788</v>
      </c>
      <c r="AJ265" s="32" t="str">
        <f t="shared" si="218"/>
        <v>1+0,290754152998001i</v>
      </c>
      <c r="AK265" s="32">
        <f t="shared" si="238"/>
        <v>1.04141153128126</v>
      </c>
      <c r="AL265" s="32">
        <f t="shared" si="239"/>
        <v>0.282952930482229</v>
      </c>
      <c r="AM265" s="32" t="str">
        <f t="shared" si="219"/>
        <v>1-0,0858373848653993i</v>
      </c>
      <c r="AN265" s="32">
        <f t="shared" si="240"/>
        <v>1.00367726717333</v>
      </c>
      <c r="AO265" s="32">
        <f t="shared" si="241"/>
        <v>-0.0856274937429352</v>
      </c>
      <c r="AP265" s="30" t="str">
        <f t="shared" si="242"/>
        <v>3,34169765477358-14,2838753593923i</v>
      </c>
      <c r="AQ265" s="32">
        <f t="shared" si="243"/>
        <v>23.3283427222648</v>
      </c>
      <c r="AR265" s="31">
        <f t="shared" si="244"/>
        <v>-76.832531191252</v>
      </c>
      <c r="AS265" t="str">
        <f t="shared" si="220"/>
        <v>-0,000201496259351621</v>
      </c>
      <c r="AT265" t="str">
        <f t="shared" si="221"/>
        <v>0,00416661085323027i</v>
      </c>
      <c r="AU265">
        <f t="shared" si="245"/>
        <v>0.00416661085323027</v>
      </c>
      <c r="AV265">
        <f t="shared" si="246"/>
        <v>1.5707963267949</v>
      </c>
      <c r="AW265" t="str">
        <f t="shared" si="222"/>
        <v>1+0,213322833363939i</v>
      </c>
      <c r="AX265">
        <f t="shared" si="247"/>
        <v>1.02250018642268</v>
      </c>
      <c r="AY265">
        <f t="shared" si="248"/>
        <v>0.210172543735051</v>
      </c>
      <c r="AZ265" t="str">
        <f t="shared" si="223"/>
        <v>1+10,1986469482717i</v>
      </c>
      <c r="BA265">
        <f t="shared" si="249"/>
        <v>10.2475557854296</v>
      </c>
      <c r="BB265">
        <f t="shared" si="250"/>
        <v>1.47305653644372</v>
      </c>
      <c r="BC265" s="30" t="str">
        <f t="shared" si="251"/>
        <v>-0,461869646523771+0,146887091675361i</v>
      </c>
      <c r="BD265" s="32">
        <f t="shared" si="252"/>
        <v>-6.29118114569611</v>
      </c>
      <c r="BE265" s="31">
        <f t="shared" si="253"/>
        <v>162.357922796837</v>
      </c>
      <c r="BF265" s="30" t="str">
        <f t="shared" si="254"/>
        <v>0,64701304183136+0,692536799279215i</v>
      </c>
      <c r="BG265" s="68">
        <f t="shared" si="255"/>
        <v>-0.46610947757383</v>
      </c>
      <c r="BH265" s="31">
        <f t="shared" si="256"/>
        <v>46.9464118736961</v>
      </c>
      <c r="BI265" s="30" t="str">
        <f t="shared" si="263"/>
        <v>0,554688194794899+7,08814071300019i</v>
      </c>
      <c r="BJ265" s="68">
        <f t="shared" si="257"/>
        <v>17.0371615765687</v>
      </c>
      <c r="BK265" s="31">
        <f t="shared" si="264"/>
        <v>85.5253916055847</v>
      </c>
      <c r="BL265" s="32">
        <f t="shared" si="258"/>
        <v>-0.46610947757383</v>
      </c>
      <c r="BM265" s="31">
        <f t="shared" si="259"/>
        <v>46.9464118736961</v>
      </c>
      <c r="BO265">
        <f t="shared" si="260"/>
        <v>0</v>
      </c>
      <c r="BP265">
        <f t="shared" si="261"/>
        <v>0</v>
      </c>
    </row>
    <row r="266" spans="14:68">
      <c r="N266" s="7">
        <v>48</v>
      </c>
      <c r="O266" s="18">
        <f t="shared" si="262"/>
        <v>3019.95172040202</v>
      </c>
      <c r="P266" s="86" t="str">
        <f t="shared" si="212"/>
        <v>54,5454545454545</v>
      </c>
      <c r="Q266" s="4" t="str">
        <f t="shared" si="213"/>
        <v>1+38,6398295116078i</v>
      </c>
      <c r="R266" s="4">
        <f t="shared" si="224"/>
        <v>38.6527673612914</v>
      </c>
      <c r="S266" s="4">
        <f t="shared" si="225"/>
        <v>1.54492207104276</v>
      </c>
      <c r="T266" s="4" t="str">
        <f t="shared" si="214"/>
        <v>1+0,29752668723938i</v>
      </c>
      <c r="U266" s="4">
        <f t="shared" si="226"/>
        <v>1.04332263927303</v>
      </c>
      <c r="V266" s="4">
        <f t="shared" si="227"/>
        <v>0.289186158415539</v>
      </c>
      <c r="W266" t="str">
        <f t="shared" si="215"/>
        <v>1-0,853871232510977i</v>
      </c>
      <c r="X266" s="4">
        <f t="shared" si="228"/>
        <v>1.31495098072507</v>
      </c>
      <c r="Y266" s="4">
        <f t="shared" si="229"/>
        <v>-0.70673722522327</v>
      </c>
      <c r="Z266" t="str">
        <f t="shared" si="216"/>
        <v>0,999925550135563+0,0589577755781389i</v>
      </c>
      <c r="AA266" s="4">
        <f t="shared" si="230"/>
        <v>1.00166218113445</v>
      </c>
      <c r="AB266" s="4">
        <f t="shared" si="231"/>
        <v>0.0588939794288429</v>
      </c>
      <c r="AC266" s="67" t="str">
        <f t="shared" si="232"/>
        <v>-0,84169071407438-1,7398958919167i</v>
      </c>
      <c r="AD266" s="68">
        <f t="shared" si="233"/>
        <v>5.72369780395543</v>
      </c>
      <c r="AE266" s="31">
        <f t="shared" si="234"/>
        <v>-115.815804666631</v>
      </c>
      <c r="AF266" s="32" t="str">
        <f t="shared" si="235"/>
        <v>432,040091031901</v>
      </c>
      <c r="AG266" s="32" t="str">
        <f t="shared" si="217"/>
        <v>1+31,4843055279767i</v>
      </c>
      <c r="AH266" s="32">
        <f t="shared" si="236"/>
        <v>31.5001824531063</v>
      </c>
      <c r="AI266" s="32">
        <f t="shared" si="237"/>
        <v>1.53904514426809</v>
      </c>
      <c r="AJ266" s="32" t="str">
        <f t="shared" si="218"/>
        <v>1+0,29752668723938i</v>
      </c>
      <c r="AK266" s="32">
        <f t="shared" si="238"/>
        <v>1.04332263927303</v>
      </c>
      <c r="AL266" s="32">
        <f t="shared" si="239"/>
        <v>0.289186158415539</v>
      </c>
      <c r="AM266" s="32" t="str">
        <f t="shared" si="219"/>
        <v>1-0,0878367944084692i</v>
      </c>
      <c r="AN266" s="32">
        <f t="shared" si="240"/>
        <v>1.00385023905559</v>
      </c>
      <c r="AO266" s="32">
        <f t="shared" si="241"/>
        <v>-0.0876119385809331</v>
      </c>
      <c r="AP266" s="30" t="str">
        <f t="shared" si="242"/>
        <v>3,32133615436062-13,9755218578688i</v>
      </c>
      <c r="AQ266" s="32">
        <f t="shared" si="243"/>
        <v>23.1459707541175</v>
      </c>
      <c r="AR266" s="31">
        <f t="shared" si="244"/>
        <v>-76.6314391914994</v>
      </c>
      <c r="AS266" t="str">
        <f t="shared" si="220"/>
        <v>-0,000201496259351621</v>
      </c>
      <c r="AT266" t="str">
        <f t="shared" si="221"/>
        <v>0,00426366368767147i</v>
      </c>
      <c r="AU266">
        <f t="shared" si="245"/>
        <v>0.00426366368767147</v>
      </c>
      <c r="AV266">
        <f t="shared" si="246"/>
        <v>1.5707963267949</v>
      </c>
      <c r="AW266" t="str">
        <f t="shared" si="222"/>
        <v>1+0,218291760474794i</v>
      </c>
      <c r="AX266">
        <f t="shared" si="247"/>
        <v>1.02354838317062</v>
      </c>
      <c r="AY266">
        <f t="shared" si="248"/>
        <v>0.214920344491304</v>
      </c>
      <c r="AZ266" t="str">
        <f t="shared" si="223"/>
        <v>1+10,4362039529119i</v>
      </c>
      <c r="BA266">
        <f t="shared" si="249"/>
        <v>10.4840046235574</v>
      </c>
      <c r="BB266">
        <f t="shared" si="250"/>
        <v>1.47526769914293</v>
      </c>
      <c r="BC266" s="30" t="str">
        <f t="shared" si="251"/>
        <v>-0,460924146779857+0,147874891175367i</v>
      </c>
      <c r="BD266" s="32">
        <f t="shared" si="252"/>
        <v>-6.30194250840025</v>
      </c>
      <c r="BE266" s="31">
        <f t="shared" si="253"/>
        <v>162.212584142016</v>
      </c>
      <c r="BF266" s="30" t="str">
        <f t="shared" si="254"/>
        <v>0,645242489910912+0,677495106720417i</v>
      </c>
      <c r="BG266" s="68">
        <f t="shared" si="255"/>
        <v>-0.578244704444827</v>
      </c>
      <c r="BH266" s="31">
        <f t="shared" si="256"/>
        <v>46.3967794753849</v>
      </c>
      <c r="BI266" s="30" t="str">
        <f t="shared" si="263"/>
        <v>0,535744740733551+6,93279771052431i</v>
      </c>
      <c r="BJ266" s="68">
        <f t="shared" si="257"/>
        <v>16.8440282457173</v>
      </c>
      <c r="BK266" s="31">
        <f t="shared" si="264"/>
        <v>85.5811449505168</v>
      </c>
      <c r="BL266" s="32">
        <f t="shared" si="258"/>
        <v>-0.578244704444827</v>
      </c>
      <c r="BM266" s="31">
        <f t="shared" si="259"/>
        <v>46.3967794753849</v>
      </c>
      <c r="BO266">
        <f t="shared" si="260"/>
        <v>0</v>
      </c>
      <c r="BP266">
        <f t="shared" si="261"/>
        <v>0</v>
      </c>
    </row>
    <row r="267" spans="14:68">
      <c r="N267" s="7">
        <v>49</v>
      </c>
      <c r="O267" s="18">
        <f t="shared" si="262"/>
        <v>3090.29543251359</v>
      </c>
      <c r="P267" s="86" t="str">
        <f t="shared" si="212"/>
        <v>54,5454545454545</v>
      </c>
      <c r="Q267" s="4" t="str">
        <f t="shared" si="213"/>
        <v>1+39,5398667621513i</v>
      </c>
      <c r="R267" s="4">
        <f t="shared" si="224"/>
        <v>39.552510205658</v>
      </c>
      <c r="S267" s="4">
        <f t="shared" si="225"/>
        <v>1.54551078707815</v>
      </c>
      <c r="T267" s="4" t="str">
        <f t="shared" si="214"/>
        <v>1+0,304456974068565i</v>
      </c>
      <c r="U267" s="4">
        <f t="shared" si="226"/>
        <v>1.04532007015028</v>
      </c>
      <c r="V267" s="4">
        <f t="shared" si="227"/>
        <v>0.295540729058418</v>
      </c>
      <c r="W267" t="str">
        <f t="shared" si="215"/>
        <v>1-0,873760448538613i</v>
      </c>
      <c r="X267" s="4">
        <f t="shared" si="228"/>
        <v>1.3279523038989</v>
      </c>
      <c r="Y267" s="4">
        <f t="shared" si="229"/>
        <v>-0.718127521365655</v>
      </c>
      <c r="Z267" t="str">
        <f t="shared" si="216"/>
        <v>0,999922041421549+0,0603310785895709i</v>
      </c>
      <c r="AA267" s="4">
        <f t="shared" si="230"/>
        <v>1.00174044940015</v>
      </c>
      <c r="AB267" s="4">
        <f t="shared" si="231"/>
        <v>0.0602627261936233</v>
      </c>
      <c r="AC267" s="67" t="str">
        <f t="shared" si="232"/>
        <v>-0,844211725560587-1,71441943150866i</v>
      </c>
      <c r="AD267" s="68">
        <f t="shared" si="233"/>
        <v>5.62522138149822</v>
      </c>
      <c r="AE267" s="31">
        <f t="shared" si="234"/>
        <v>-116.216484841543</v>
      </c>
      <c r="AF267" s="32" t="str">
        <f t="shared" si="235"/>
        <v>432,040091031901</v>
      </c>
      <c r="AG267" s="32" t="str">
        <f t="shared" si="217"/>
        <v>1+32,2176692136048i</v>
      </c>
      <c r="AH267" s="32">
        <f t="shared" si="236"/>
        <v>32.233184911784</v>
      </c>
      <c r="AI267" s="32">
        <f t="shared" si="237"/>
        <v>1.53976742021087</v>
      </c>
      <c r="AJ267" s="32" t="str">
        <f t="shared" si="218"/>
        <v>1+0,304456974068565i</v>
      </c>
      <c r="AK267" s="32">
        <f t="shared" si="238"/>
        <v>1.04532007015028</v>
      </c>
      <c r="AL267" s="32">
        <f t="shared" si="239"/>
        <v>0.295540729058418</v>
      </c>
      <c r="AM267" s="32" t="str">
        <f t="shared" si="219"/>
        <v>1-0,0898827761825918i</v>
      </c>
      <c r="AN267" s="32">
        <f t="shared" si="240"/>
        <v>1.00403133091268</v>
      </c>
      <c r="AO267" s="32">
        <f t="shared" si="241"/>
        <v>-0.0896418910397831</v>
      </c>
      <c r="AP267" s="30" t="str">
        <f t="shared" si="242"/>
        <v>3,30188926678039-13,6745201893296i</v>
      </c>
      <c r="AQ267" s="32">
        <f t="shared" si="243"/>
        <v>22.9643476693331</v>
      </c>
      <c r="AR267" s="31">
        <f t="shared" si="244"/>
        <v>-76.4250401847137</v>
      </c>
      <c r="AS267" t="str">
        <f t="shared" si="220"/>
        <v>-0,000201496259351621</v>
      </c>
      <c r="AT267" t="str">
        <f t="shared" si="221"/>
        <v>0,00436297717303613i</v>
      </c>
      <c r="AU267">
        <f t="shared" si="245"/>
        <v>0.00436297717303613</v>
      </c>
      <c r="AV267">
        <f t="shared" si="246"/>
        <v>1.5707963267949</v>
      </c>
      <c r="AW267" t="str">
        <f t="shared" si="222"/>
        <v>1+0,223376428766485i</v>
      </c>
      <c r="AX267">
        <f t="shared" si="247"/>
        <v>1.02464483062594</v>
      </c>
      <c r="AY267">
        <f t="shared" si="248"/>
        <v>0.219768567603031</v>
      </c>
      <c r="AZ267" t="str">
        <f t="shared" si="223"/>
        <v>1+10,6792943710275i</v>
      </c>
      <c r="BA267">
        <f t="shared" si="249"/>
        <v>10.7260117594127</v>
      </c>
      <c r="BB267">
        <f t="shared" si="250"/>
        <v>1.47742943539804</v>
      </c>
      <c r="BC267" s="30" t="str">
        <f t="shared" si="251"/>
        <v>-0,45993822717961+0,148922561384993i</v>
      </c>
      <c r="BD267" s="32">
        <f t="shared" si="252"/>
        <v>-6.31302074443667</v>
      </c>
      <c r="BE267" s="31">
        <f t="shared" si="253"/>
        <v>162.058659783415</v>
      </c>
      <c r="BF267" s="30" t="str">
        <f t="shared" si="254"/>
        <v>0,643600977447049+0,662804861448641i</v>
      </c>
      <c r="BG267" s="68">
        <f t="shared" si="255"/>
        <v>-0.687799362938447</v>
      </c>
      <c r="BH267" s="31">
        <f t="shared" si="256"/>
        <v>45.8421749418714</v>
      </c>
      <c r="BI267" s="30" t="str">
        <f t="shared" si="263"/>
        <v>0,517779476599408+6,78116038043059i</v>
      </c>
      <c r="BJ267" s="68">
        <f t="shared" si="257"/>
        <v>16.6513269248964</v>
      </c>
      <c r="BK267" s="31">
        <f t="shared" si="264"/>
        <v>85.6336195987009</v>
      </c>
      <c r="BL267" s="32">
        <f t="shared" si="258"/>
        <v>-0.687799362938447</v>
      </c>
      <c r="BM267" s="31">
        <f t="shared" si="259"/>
        <v>45.8421749418714</v>
      </c>
      <c r="BO267">
        <f t="shared" si="260"/>
        <v>0</v>
      </c>
      <c r="BP267">
        <f t="shared" si="261"/>
        <v>0</v>
      </c>
    </row>
    <row r="268" spans="14:68">
      <c r="N268" s="7">
        <v>50</v>
      </c>
      <c r="O268" s="18">
        <f t="shared" si="262"/>
        <v>3162.27766016838</v>
      </c>
      <c r="P268" s="86" t="str">
        <f t="shared" si="212"/>
        <v>54,5454545454545</v>
      </c>
      <c r="Q268" s="4" t="str">
        <f t="shared" si="213"/>
        <v>1+40,4608685734241i</v>
      </c>
      <c r="R268" s="4">
        <f t="shared" si="224"/>
        <v>40.4732243059025</v>
      </c>
      <c r="S268" s="4">
        <f t="shared" si="225"/>
        <v>1.54608611924096</v>
      </c>
      <c r="T268" s="4" t="str">
        <f t="shared" si="214"/>
        <v>1+0,311548688015366i</v>
      </c>
      <c r="U268" s="4">
        <f t="shared" si="226"/>
        <v>1.04740755439518</v>
      </c>
      <c r="V268" s="4">
        <f t="shared" si="227"/>
        <v>0.302017958114375</v>
      </c>
      <c r="W268" t="str">
        <f t="shared" si="215"/>
        <v>1-0,89411294392165i</v>
      </c>
      <c r="X268" s="4">
        <f t="shared" si="228"/>
        <v>1.34143130889667</v>
      </c>
      <c r="Y268" s="4">
        <f t="shared" si="229"/>
        <v>-0.729553047253292</v>
      </c>
      <c r="Z268" t="str">
        <f t="shared" si="216"/>
        <v>0,999918367346939+0,0617363699374472i</v>
      </c>
      <c r="AA268" s="4">
        <f t="shared" si="230"/>
        <v>1.0018223997949</v>
      </c>
      <c r="AB268" s="4">
        <f t="shared" si="231"/>
        <v>0.0616631362157025</v>
      </c>
      <c r="AC268" s="67" t="str">
        <f t="shared" si="232"/>
        <v>-0,846697671717848-1,68984345181072i</v>
      </c>
      <c r="AD268" s="68">
        <f t="shared" si="233"/>
        <v>5.52968327752035</v>
      </c>
      <c r="AE268" s="31">
        <f t="shared" si="234"/>
        <v>-116.613203054376</v>
      </c>
      <c r="AF268" s="32" t="str">
        <f t="shared" si="235"/>
        <v>432,040091031901</v>
      </c>
      <c r="AG268" s="32" t="str">
        <f t="shared" si="217"/>
        <v>1+32,9681151339011i</v>
      </c>
      <c r="AH268" s="32">
        <f t="shared" si="236"/>
        <v>32.98327781592</v>
      </c>
      <c r="AI268" s="32">
        <f t="shared" si="237"/>
        <v>1.54047328644036</v>
      </c>
      <c r="AJ268" s="32" t="str">
        <f t="shared" si="218"/>
        <v>1+0,311548688015366i</v>
      </c>
      <c r="AK268" s="32">
        <f t="shared" si="238"/>
        <v>1.04740755439518</v>
      </c>
      <c r="AL268" s="32">
        <f t="shared" si="239"/>
        <v>0.302017958114375</v>
      </c>
      <c r="AM268" s="32" t="str">
        <f t="shared" si="219"/>
        <v>1-0,0919764149943855i</v>
      </c>
      <c r="AN268" s="32">
        <f t="shared" si="240"/>
        <v>1.0042209223648</v>
      </c>
      <c r="AO268" s="32">
        <f t="shared" si="241"/>
        <v>-0.0917183604713692</v>
      </c>
      <c r="AP268" s="30" t="str">
        <f t="shared" si="242"/>
        <v>3,28331598632747-13,3807146341563i</v>
      </c>
      <c r="AQ268" s="32">
        <f t="shared" si="243"/>
        <v>22.7835040682698</v>
      </c>
      <c r="AR268" s="31">
        <f t="shared" si="244"/>
        <v>-76.2133383874365</v>
      </c>
      <c r="AS268" t="str">
        <f t="shared" si="220"/>
        <v>-0,000201496259351621</v>
      </c>
      <c r="AT268" t="str">
        <f t="shared" si="221"/>
        <v>0,00446460396664877i</v>
      </c>
      <c r="AU268">
        <f t="shared" si="245"/>
        <v>0.00446460396664877</v>
      </c>
      <c r="AV268">
        <f t="shared" si="246"/>
        <v>1.5707963267949</v>
      </c>
      <c r="AW268" t="str">
        <f t="shared" si="222"/>
        <v>1+0,228579534197445i</v>
      </c>
      <c r="AX268">
        <f t="shared" si="247"/>
        <v>1.0257916959373</v>
      </c>
      <c r="AY268">
        <f t="shared" si="248"/>
        <v>0.224718871575533</v>
      </c>
      <c r="AZ268" t="str">
        <f t="shared" si="223"/>
        <v>1+10,9280470923757i</v>
      </c>
      <c r="BA268">
        <f t="shared" si="249"/>
        <v>10.9737055388406</v>
      </c>
      <c r="BB268">
        <f t="shared" si="250"/>
        <v>1.47954281052954</v>
      </c>
      <c r="BC268" s="30" t="str">
        <f t="shared" si="251"/>
        <v>-0,458910353144168+0,150029459464879i</v>
      </c>
      <c r="BD268" s="32">
        <f t="shared" si="252"/>
        <v>-6.32443658378959</v>
      </c>
      <c r="BE268" s="31">
        <f t="shared" si="253"/>
        <v>161.896115734046</v>
      </c>
      <c r="BF268" s="30" t="str">
        <f t="shared" si="254"/>
        <v>0,64208462718981+0,648457061210817i</v>
      </c>
      <c r="BG268" s="68">
        <f t="shared" si="255"/>
        <v>-0.794753306269236</v>
      </c>
      <c r="BH268" s="31">
        <f t="shared" si="256"/>
        <v>45.2829126796702</v>
      </c>
      <c r="BI268" s="30" t="str">
        <f t="shared" si="263"/>
        <v>0,500753685046834+6,63314260076311i</v>
      </c>
      <c r="BJ268" s="68">
        <f t="shared" si="257"/>
        <v>16.4590674844802</v>
      </c>
      <c r="BK268" s="31">
        <f t="shared" si="264"/>
        <v>85.6827773466099</v>
      </c>
      <c r="BL268" s="32">
        <f t="shared" si="258"/>
        <v>-0.794753306269236</v>
      </c>
      <c r="BM268" s="31">
        <f t="shared" si="259"/>
        <v>45.2829126796702</v>
      </c>
      <c r="BO268">
        <f t="shared" si="260"/>
        <v>0</v>
      </c>
      <c r="BP268">
        <f t="shared" si="261"/>
        <v>0</v>
      </c>
    </row>
    <row r="269" spans="14:68">
      <c r="N269" s="7">
        <v>51</v>
      </c>
      <c r="O269" s="18">
        <f t="shared" si="262"/>
        <v>3235.93656929628</v>
      </c>
      <c r="P269" s="86" t="str">
        <f t="shared" si="212"/>
        <v>54,5454545454545</v>
      </c>
      <c r="Q269" s="4" t="str">
        <f t="shared" si="213"/>
        <v>1+41,4033232727774i</v>
      </c>
      <c r="R269" s="4">
        <f t="shared" si="224"/>
        <v>41.4153978373999</v>
      </c>
      <c r="S269" s="4">
        <f t="shared" si="225"/>
        <v>1.54664837105551</v>
      </c>
      <c r="T269" s="4" t="str">
        <f t="shared" si="214"/>
        <v>1+0,318805589200387i</v>
      </c>
      <c r="U269" s="4">
        <f t="shared" si="226"/>
        <v>1.04958896893279</v>
      </c>
      <c r="V269" s="4">
        <f t="shared" si="227"/>
        <v>0.308619105112336</v>
      </c>
      <c r="W269" t="str">
        <f t="shared" si="215"/>
        <v>1-0,914939509822538i</v>
      </c>
      <c r="X269" s="4">
        <f t="shared" si="228"/>
        <v>1.35540189856526</v>
      </c>
      <c r="Y269" s="4">
        <f t="shared" si="229"/>
        <v>-0.741007929639189</v>
      </c>
      <c r="Z269" t="str">
        <f t="shared" si="216"/>
        <v>0,999914520118526+0,0631743947258419i</v>
      </c>
      <c r="AA269" s="4">
        <f t="shared" si="230"/>
        <v>1.00190820522283</v>
      </c>
      <c r="AB269" s="4">
        <f t="shared" si="231"/>
        <v>0.0630959314446627</v>
      </c>
      <c r="AC269" s="67" t="str">
        <f t="shared" si="232"/>
        <v>-0,849153772634621-1,66615483949845i</v>
      </c>
      <c r="AD269" s="68">
        <f t="shared" si="233"/>
        <v>5.43712283310376</v>
      </c>
      <c r="AE269" s="31">
        <f t="shared" si="234"/>
        <v>-117.005609382502</v>
      </c>
      <c r="AF269" s="32" t="str">
        <f t="shared" si="235"/>
        <v>432,040091031901</v>
      </c>
      <c r="AG269" s="32" t="str">
        <f t="shared" si="217"/>
        <v>1+33,736041185226i</v>
      </c>
      <c r="AH269" s="32">
        <f t="shared" si="236"/>
        <v>33.750858875757</v>
      </c>
      <c r="AI269" s="32">
        <f t="shared" si="237"/>
        <v>1.54116311440101</v>
      </c>
      <c r="AJ269" s="32" t="str">
        <f t="shared" si="218"/>
        <v>1+0,318805589200387i</v>
      </c>
      <c r="AK269" s="32">
        <f t="shared" si="238"/>
        <v>1.04958896893279</v>
      </c>
      <c r="AL269" s="32">
        <f t="shared" si="239"/>
        <v>0.308619105112336</v>
      </c>
      <c r="AM269" s="32" t="str">
        <f t="shared" si="219"/>
        <v>1-0,0941188209188611i</v>
      </c>
      <c r="AN269" s="32">
        <f t="shared" si="240"/>
        <v>1.00441941063042</v>
      </c>
      <c r="AO269" s="32">
        <f t="shared" si="241"/>
        <v>-0.09384237618234</v>
      </c>
      <c r="AP269" s="30" t="str">
        <f t="shared" si="242"/>
        <v>3,26557713892635-13,0939530303379i</v>
      </c>
      <c r="AQ269" s="32">
        <f t="shared" si="243"/>
        <v>22.6034714902667</v>
      </c>
      <c r="AR269" s="31">
        <f t="shared" si="244"/>
        <v>-75.9963418911017</v>
      </c>
      <c r="AS269" t="str">
        <f t="shared" si="220"/>
        <v>-0,000201496259351621</v>
      </c>
      <c r="AT269" t="str">
        <f t="shared" si="221"/>
        <v>0,00456859795238054i</v>
      </c>
      <c r="AU269">
        <f t="shared" si="245"/>
        <v>0.00456859795238054</v>
      </c>
      <c r="AV269">
        <f t="shared" si="246"/>
        <v>1.5707963267949</v>
      </c>
      <c r="AW269" t="str">
        <f t="shared" si="222"/>
        <v>1+0,233903835523044i</v>
      </c>
      <c r="AX269">
        <f t="shared" si="247"/>
        <v>1.02699123865415</v>
      </c>
      <c r="AY269">
        <f t="shared" si="248"/>
        <v>0.229772910209199</v>
      </c>
      <c r="AZ269" t="str">
        <f t="shared" si="223"/>
        <v>1+11,1825940089421i</v>
      </c>
      <c r="BA269">
        <f t="shared" si="249"/>
        <v>11.2272173208159</v>
      </c>
      <c r="BB269">
        <f t="shared" si="250"/>
        <v>1.48160886952256</v>
      </c>
      <c r="BC269" s="30" t="str">
        <f t="shared" si="251"/>
        <v>-0,457838949485147+0,151194902556067i</v>
      </c>
      <c r="BD269" s="32">
        <f t="shared" si="252"/>
        <v>-6.33621124080522</v>
      </c>
      <c r="BE269" s="31">
        <f t="shared" si="253"/>
        <v>161.724917111366</v>
      </c>
      <c r="BF269" s="30" t="str">
        <f t="shared" si="254"/>
        <v>0,640689789815672+0,634442859486956i</v>
      </c>
      <c r="BG269" s="68">
        <f t="shared" si="255"/>
        <v>-0.899088407701451</v>
      </c>
      <c r="BH269" s="31">
        <f t="shared" si="256"/>
        <v>44.7193077288642</v>
      </c>
      <c r="BI269" s="30" t="str">
        <f t="shared" si="263"/>
        <v>0,484630545746905+6,48866031732705i</v>
      </c>
      <c r="BJ269" s="68">
        <f t="shared" si="257"/>
        <v>16.2672602494615</v>
      </c>
      <c r="BK269" s="31">
        <f t="shared" si="264"/>
        <v>85.7285752202645</v>
      </c>
      <c r="BL269" s="32">
        <f t="shared" si="258"/>
        <v>-0.899088407701451</v>
      </c>
      <c r="BM269" s="31">
        <f t="shared" si="259"/>
        <v>44.7193077288642</v>
      </c>
      <c r="BO269">
        <f t="shared" si="260"/>
        <v>0</v>
      </c>
      <c r="BP269">
        <f t="shared" si="261"/>
        <v>0</v>
      </c>
    </row>
    <row r="270" spans="14:68">
      <c r="N270" s="7">
        <v>52</v>
      </c>
      <c r="O270" s="18">
        <f t="shared" si="262"/>
        <v>3311.31121482591</v>
      </c>
      <c r="P270" s="86" t="str">
        <f t="shared" si="212"/>
        <v>54,5454545454545</v>
      </c>
      <c r="Q270" s="4" t="str">
        <f t="shared" si="213"/>
        <v>1+42,3677305621677i</v>
      </c>
      <c r="R270" s="4">
        <f t="shared" si="224"/>
        <v>42.3795303535615</v>
      </c>
      <c r="S270" s="4">
        <f t="shared" si="225"/>
        <v>1.54719783921242</v>
      </c>
      <c r="T270" s="4" t="str">
        <f t="shared" si="214"/>
        <v>1+0,326231525328692i</v>
      </c>
      <c r="U270" s="4">
        <f t="shared" si="226"/>
        <v>1.05186834162755</v>
      </c>
      <c r="V270" s="4">
        <f t="shared" si="227"/>
        <v>0.315345368080178</v>
      </c>
      <c r="W270" t="str">
        <f t="shared" si="215"/>
        <v>1-0,93625118876219i</v>
      </c>
      <c r="X270" s="4">
        <f t="shared" si="228"/>
        <v>1.36987820205251</v>
      </c>
      <c r="Y270" s="4">
        <f t="shared" si="229"/>
        <v>-0.752486218678024</v>
      </c>
      <c r="Z270" t="str">
        <f t="shared" si="216"/>
        <v>0,999910491575825+0,0646459154145321i</v>
      </c>
      <c r="AA270" s="4">
        <f t="shared" si="230"/>
        <v>1.00199804667633</v>
      </c>
      <c r="AB270" s="4">
        <f t="shared" si="231"/>
        <v>0.0645618495413305</v>
      </c>
      <c r="AC270" s="67" t="str">
        <f t="shared" si="232"/>
        <v>-0,851585182351724-1,64334091116361i</v>
      </c>
      <c r="AD270" s="68">
        <f t="shared" si="233"/>
        <v>5.34757780102427</v>
      </c>
      <c r="AE270" s="31">
        <f t="shared" si="234"/>
        <v>-117.393353546924</v>
      </c>
      <c r="AF270" s="32" t="str">
        <f t="shared" si="235"/>
        <v>432,040091031901</v>
      </c>
      <c r="AG270" s="32" t="str">
        <f t="shared" si="217"/>
        <v>1+34,5218545321367i</v>
      </c>
      <c r="AH270" s="32">
        <f t="shared" si="236"/>
        <v>34.536335073919</v>
      </c>
      <c r="AI270" s="32">
        <f t="shared" si="237"/>
        <v>1.54183726722114</v>
      </c>
      <c r="AJ270" s="32" t="str">
        <f t="shared" si="218"/>
        <v>1+0,326231525328692i</v>
      </c>
      <c r="AK270" s="32">
        <f t="shared" si="238"/>
        <v>1.05186834162755</v>
      </c>
      <c r="AL270" s="32">
        <f t="shared" si="239"/>
        <v>0.315345368080178</v>
      </c>
      <c r="AM270" s="32" t="str">
        <f t="shared" si="219"/>
        <v>1-0,0963111298879977i</v>
      </c>
      <c r="AN270" s="32">
        <f t="shared" si="240"/>
        <v>1.00462721132782</v>
      </c>
      <c r="AO270" s="32">
        <f t="shared" si="241"/>
        <v>-0.0960149876526278</v>
      </c>
      <c r="AP270" s="30" t="str">
        <f t="shared" si="242"/>
        <v>3,24863530091656-12,8140867099174i</v>
      </c>
      <c r="AQ270" s="32">
        <f t="shared" si="243"/>
        <v>22.4242824239026</v>
      </c>
      <c r="AR270" s="31">
        <f t="shared" si="244"/>
        <v>-75.7740629902583</v>
      </c>
      <c r="AS270" t="str">
        <f t="shared" si="220"/>
        <v>-0,000201496259351621</v>
      </c>
      <c r="AT270" t="str">
        <f t="shared" si="221"/>
        <v>0,00467501426921921i</v>
      </c>
      <c r="AU270">
        <f t="shared" si="245"/>
        <v>0.00467501426921921</v>
      </c>
      <c r="AV270">
        <f t="shared" si="246"/>
        <v>1.5707963267949</v>
      </c>
      <c r="AW270" t="str">
        <f t="shared" si="222"/>
        <v>1+0,239352155758321i</v>
      </c>
      <c r="AX270">
        <f t="shared" si="247"/>
        <v>1.02824581422253</v>
      </c>
      <c r="AY270">
        <f t="shared" si="248"/>
        <v>0.234932329986025</v>
      </c>
      <c r="AZ270" t="str">
        <f t="shared" si="223"/>
        <v>1+11,4430700848712i</v>
      </c>
      <c r="BA270">
        <f t="shared" si="249"/>
        <v>11.4866815472213</v>
      </c>
      <c r="BB270">
        <f t="shared" si="250"/>
        <v>1.48362863723645</v>
      </c>
      <c r="BC270" s="30" t="str">
        <f t="shared" si="251"/>
        <v>-0,456722401010152+0,152418163850709i</v>
      </c>
      <c r="BD270" s="32">
        <f t="shared" si="252"/>
        <v>-6.34836643759018</v>
      </c>
      <c r="BE270" s="31">
        <f t="shared" si="253"/>
        <v>161.545028299021</v>
      </c>
      <c r="BF270" s="30" t="str">
        <f t="shared" si="254"/>
        <v>0,639413033408656+0,620753556768334i</v>
      </c>
      <c r="BG270" s="68">
        <f t="shared" si="255"/>
        <v>-1.00078863656591</v>
      </c>
      <c r="BH270" s="31">
        <f t="shared" si="256"/>
        <v>44.1516747520964</v>
      </c>
      <c r="BI270" s="30" t="str">
        <f t="shared" si="263"/>
        <v>0,469375053108434+6,34763147649205i</v>
      </c>
      <c r="BJ270" s="68">
        <f t="shared" si="257"/>
        <v>16.0759159863124</v>
      </c>
      <c r="BK270" s="31">
        <f t="shared" si="264"/>
        <v>85.7709653087624</v>
      </c>
      <c r="BL270" s="32">
        <f t="shared" si="258"/>
        <v>-1.00078863656591</v>
      </c>
      <c r="BM270" s="31">
        <f t="shared" si="259"/>
        <v>44.1516747520964</v>
      </c>
      <c r="BO270">
        <f t="shared" si="260"/>
        <v>0</v>
      </c>
      <c r="BP270">
        <f t="shared" si="261"/>
        <v>0</v>
      </c>
    </row>
    <row r="271" spans="14:68">
      <c r="N271" s="7">
        <v>53</v>
      </c>
      <c r="O271" s="18">
        <f t="shared" si="262"/>
        <v>3388.44156139203</v>
      </c>
      <c r="P271" s="86" t="str">
        <f t="shared" si="212"/>
        <v>54,5454545454545</v>
      </c>
      <c r="Q271" s="4" t="str">
        <f t="shared" si="213"/>
        <v>1+43,3546017831056i</v>
      </c>
      <c r="R271" s="4">
        <f t="shared" si="224"/>
        <v>43.3661330507075</v>
      </c>
      <c r="S271" s="4">
        <f t="shared" si="225"/>
        <v>1.54773481371905</v>
      </c>
      <c r="T271" s="4" t="str">
        <f t="shared" si="214"/>
        <v>1+0,333830433729914i</v>
      </c>
      <c r="U271" s="4">
        <f t="shared" si="226"/>
        <v>1.05424985581422</v>
      </c>
      <c r="V271" s="4">
        <f t="shared" si="227"/>
        <v>0.3221978780143</v>
      </c>
      <c r="W271" t="str">
        <f t="shared" si="215"/>
        <v>1-0,95805928047488i</v>
      </c>
      <c r="X271" s="4">
        <f t="shared" si="228"/>
        <v>1.38487457370841</v>
      </c>
      <c r="Y271" s="4">
        <f t="shared" si="229"/>
        <v>-0.763981903111839</v>
      </c>
      <c r="Z271" t="str">
        <f t="shared" si="216"/>
        <v>0,999906273173755+0,0661517122232655i</v>
      </c>
      <c r="AA271" s="4">
        <f t="shared" si="230"/>
        <v>1.00209211361147</v>
      </c>
      <c r="AB271" s="4">
        <f t="shared" si="231"/>
        <v>0.0660616441658334</v>
      </c>
      <c r="AC271" s="67" t="str">
        <f t="shared" si="232"/>
        <v>-0,853996999329353-1,62138940605088i</v>
      </c>
      <c r="AD271" s="68">
        <f t="shared" si="233"/>
        <v>5.2610843001059</v>
      </c>
      <c r="AE271" s="31">
        <f t="shared" si="234"/>
        <v>-117.776086124356</v>
      </c>
      <c r="AF271" s="32" t="str">
        <f t="shared" si="235"/>
        <v>432,040091031901</v>
      </c>
      <c r="AG271" s="32" t="str">
        <f t="shared" si="217"/>
        <v>1+35,3259718232712i</v>
      </c>
      <c r="AH271" s="32">
        <f t="shared" si="236"/>
        <v>35.3401228812033</v>
      </c>
      <c r="AI271" s="32">
        <f t="shared" si="237"/>
        <v>1.54249609989295</v>
      </c>
      <c r="AJ271" s="32" t="str">
        <f t="shared" si="218"/>
        <v>1+0,333830433729914i</v>
      </c>
      <c r="AK271" s="32">
        <f t="shared" si="238"/>
        <v>1.05424985581422</v>
      </c>
      <c r="AL271" s="32">
        <f t="shared" si="239"/>
        <v>0.3221978780143</v>
      </c>
      <c r="AM271" s="32" t="str">
        <f t="shared" si="219"/>
        <v>1-0,0985545042930301i</v>
      </c>
      <c r="AN271" s="32">
        <f t="shared" si="240"/>
        <v>1.00484475931183</v>
      </c>
      <c r="AO271" s="32">
        <f t="shared" si="241"/>
        <v>-0.0982372647424066</v>
      </c>
      <c r="AP271" s="30" t="str">
        <f t="shared" si="242"/>
        <v>3,23245472138603-12,5409704361568i</v>
      </c>
      <c r="AQ271" s="32">
        <f t="shared" si="243"/>
        <v>22.2459703153429</v>
      </c>
      <c r="AR271" s="31">
        <f t="shared" si="244"/>
        <v>-75.5465185216149</v>
      </c>
      <c r="AS271" t="str">
        <f t="shared" si="220"/>
        <v>-0,000201496259351621</v>
      </c>
      <c r="AT271" t="str">
        <f t="shared" si="221"/>
        <v>0,00478390934050456i</v>
      </c>
      <c r="AU271">
        <f t="shared" si="245"/>
        <v>0.00478390934050456</v>
      </c>
      <c r="AV271">
        <f t="shared" si="246"/>
        <v>1.5707963267949</v>
      </c>
      <c r="AW271" t="str">
        <f t="shared" si="222"/>
        <v>1+0,244927383674783i</v>
      </c>
      <c r="AX271">
        <f t="shared" si="247"/>
        <v>1.02955787757356</v>
      </c>
      <c r="AY271">
        <f t="shared" si="248"/>
        <v>0.240198767279762</v>
      </c>
      <c r="AZ271" t="str">
        <f t="shared" si="223"/>
        <v>1+11,7096134280263i</v>
      </c>
      <c r="BA271">
        <f t="shared" si="249"/>
        <v>11.7522358142531</v>
      </c>
      <c r="BB271">
        <f t="shared" si="250"/>
        <v>1.48560311862576</v>
      </c>
      <c r="BC271" s="30" t="str">
        <f t="shared" si="251"/>
        <v>-0,45555905333008+0,153698468540584i</v>
      </c>
      <c r="BD271" s="32">
        <f t="shared" si="252"/>
        <v>-6.3609244268578</v>
      </c>
      <c r="BE271" s="31">
        <f t="shared" si="253"/>
        <v>161.356413119354</v>
      </c>
      <c r="BF271" s="30" t="str">
        <f t="shared" si="254"/>
        <v>0,638251133179156+0,607380591964784i</v>
      </c>
      <c r="BG271" s="68">
        <f t="shared" si="255"/>
        <v>-1.0998401267519</v>
      </c>
      <c r="BH271" s="31">
        <f t="shared" si="256"/>
        <v>43.5803269949973</v>
      </c>
      <c r="BI271" s="30" t="str">
        <f t="shared" si="263"/>
        <v>0,454953937243072+6,20997596003992i</v>
      </c>
      <c r="BJ271" s="68">
        <f t="shared" si="257"/>
        <v>15.8850458884851</v>
      </c>
      <c r="BK271" s="31">
        <f t="shared" si="264"/>
        <v>85.8098945977387</v>
      </c>
      <c r="BL271" s="32">
        <f t="shared" si="258"/>
        <v>-1.0998401267519</v>
      </c>
      <c r="BM271" s="31">
        <f t="shared" si="259"/>
        <v>43.5803269949973</v>
      </c>
      <c r="BO271">
        <f t="shared" si="260"/>
        <v>0</v>
      </c>
      <c r="BP271">
        <f t="shared" si="261"/>
        <v>0</v>
      </c>
    </row>
    <row r="272" spans="14:68">
      <c r="N272" s="7">
        <v>54</v>
      </c>
      <c r="O272" s="18">
        <f t="shared" si="262"/>
        <v>3467.36850452532</v>
      </c>
      <c r="P272" s="86" t="str">
        <f t="shared" si="212"/>
        <v>54,5454545454545</v>
      </c>
      <c r="Q272" s="4" t="str">
        <f t="shared" si="213"/>
        <v>1+44,3644601877745i</v>
      </c>
      <c r="R272" s="4">
        <f t="shared" si="224"/>
        <v>44.3757290391113</v>
      </c>
      <c r="S272" s="4">
        <f t="shared" si="225"/>
        <v>1.54825957804705</v>
      </c>
      <c r="T272" s="4" t="str">
        <f t="shared" si="214"/>
        <v>1+0,341606343445864i</v>
      </c>
      <c r="U272" s="4">
        <f t="shared" si="226"/>
        <v>1.05673785485448</v>
      </c>
      <c r="V272" s="4">
        <f t="shared" si="227"/>
        <v>0.329177693151505</v>
      </c>
      <c r="W272" t="str">
        <f t="shared" si="215"/>
        <v>1-0,980375347899482i</v>
      </c>
      <c r="X272" s="4">
        <f t="shared" si="228"/>
        <v>1.40040559223713</v>
      </c>
      <c r="Y272" s="4">
        <f t="shared" si="229"/>
        <v>-0.775488925846742</v>
      </c>
      <c r="Z272" t="str">
        <f t="shared" si="216"/>
        <v>0,999901855964521+0,0676925835454404i</v>
      </c>
      <c r="AA272" s="4">
        <f t="shared" si="230"/>
        <v>1.00219060434049</v>
      </c>
      <c r="AB272" s="4">
        <f t="shared" si="231"/>
        <v>0.067596085266925</v>
      </c>
      <c r="AC272" s="67" t="str">
        <f t="shared" si="232"/>
        <v>-0,856394276769953-1,60028847882988i</v>
      </c>
      <c r="AD272" s="68">
        <f t="shared" si="233"/>
        <v>5.17767677673636</v>
      </c>
      <c r="AE272" s="31">
        <f t="shared" si="234"/>
        <v>-118.153459792921</v>
      </c>
      <c r="AF272" s="32" t="str">
        <f t="shared" si="235"/>
        <v>432,040091031901</v>
      </c>
      <c r="AG272" s="32" t="str">
        <f t="shared" si="217"/>
        <v>1+36,1488194122607i</v>
      </c>
      <c r="AH272" s="32">
        <f t="shared" si="236"/>
        <v>36.1626484774033</v>
      </c>
      <c r="AI272" s="32">
        <f t="shared" si="237"/>
        <v>1.54313995944916</v>
      </c>
      <c r="AJ272" s="32" t="str">
        <f t="shared" si="218"/>
        <v>1+0,341606343445864i</v>
      </c>
      <c r="AK272" s="32">
        <f t="shared" si="238"/>
        <v>1.05673785485448</v>
      </c>
      <c r="AL272" s="32">
        <f t="shared" si="239"/>
        <v>0.329177693151505</v>
      </c>
      <c r="AM272" s="32" t="str">
        <f t="shared" si="219"/>
        <v>1-0,100850133600761i</v>
      </c>
      <c r="AN272" s="32">
        <f t="shared" si="240"/>
        <v>1.00507250954709</v>
      </c>
      <c r="AO272" s="32">
        <f t="shared" si="241"/>
        <v>-0.100510297886135</v>
      </c>
      <c r="AP272" s="30" t="str">
        <f t="shared" si="242"/>
        <v>3,21700124790227-12,2744623414625i</v>
      </c>
      <c r="AQ272" s="32">
        <f t="shared" si="243"/>
        <v>22.0685695745926</v>
      </c>
      <c r="AR272" s="31">
        <f t="shared" si="244"/>
        <v>-75.3137302134705</v>
      </c>
      <c r="AS272" t="str">
        <f t="shared" si="220"/>
        <v>-0,000201496259351621</v>
      </c>
      <c r="AT272" t="str">
        <f t="shared" si="221"/>
        <v>0,00489534090384475i</v>
      </c>
      <c r="AU272">
        <f t="shared" si="245"/>
        <v>0.00489534090384475</v>
      </c>
      <c r="AV272">
        <f t="shared" si="246"/>
        <v>1.5707963267949</v>
      </c>
      <c r="AW272" t="str">
        <f t="shared" si="222"/>
        <v>1+0,250632475332064i</v>
      </c>
      <c r="AX272">
        <f t="shared" si="247"/>
        <v>1.0309299868037</v>
      </c>
      <c r="AY272">
        <f t="shared" si="248"/>
        <v>0.245573845383671</v>
      </c>
      <c r="AZ272" t="str">
        <f t="shared" si="223"/>
        <v>1+11,9823653632159i</v>
      </c>
      <c r="BA272">
        <f t="shared" si="249"/>
        <v>12.0240209454906</v>
      </c>
      <c r="BB272">
        <f t="shared" si="250"/>
        <v>1.48753329897113</v>
      </c>
      <c r="BC272" s="30" t="str">
        <f t="shared" si="251"/>
        <v>-0,45434721388588+0,155034989648433i</v>
      </c>
      <c r="BD272" s="32">
        <f t="shared" si="252"/>
        <v>-6.37390801414394</v>
      </c>
      <c r="BE272" s="31">
        <f t="shared" si="253"/>
        <v>161.159035016935</v>
      </c>
      <c r="BF272" s="30" t="str">
        <f t="shared" si="254"/>
        <v>0,637201061388138+0,594315533936022i</v>
      </c>
      <c r="BG272" s="68">
        <f t="shared" si="255"/>
        <v>-1.19623123740758</v>
      </c>
      <c r="BH272" s="31">
        <f t="shared" si="256"/>
        <v>43.0055752240143</v>
      </c>
      <c r="BI272" s="30" t="str">
        <f t="shared" si="263"/>
        <v>0,441335587996924+6,07561552195817i</v>
      </c>
      <c r="BJ272" s="68">
        <f t="shared" si="257"/>
        <v>15.6946615604487</v>
      </c>
      <c r="BK272" s="31">
        <f t="shared" si="264"/>
        <v>85.845304803465</v>
      </c>
      <c r="BL272" s="32">
        <f t="shared" si="258"/>
        <v>-1.19623123740758</v>
      </c>
      <c r="BM272" s="31">
        <f t="shared" si="259"/>
        <v>43.0055752240143</v>
      </c>
      <c r="BO272">
        <f t="shared" si="260"/>
        <v>0</v>
      </c>
      <c r="BP272">
        <f t="shared" si="261"/>
        <v>0</v>
      </c>
    </row>
    <row r="273" spans="14:68">
      <c r="N273" s="7">
        <v>55</v>
      </c>
      <c r="O273" s="18">
        <f t="shared" si="262"/>
        <v>3548.13389233575</v>
      </c>
      <c r="P273" s="86" t="str">
        <f t="shared" si="212"/>
        <v>54,5454545454545</v>
      </c>
      <c r="Q273" s="4" t="str">
        <f t="shared" si="213"/>
        <v>1+45,3978412164681i</v>
      </c>
      <c r="R273" s="4">
        <f t="shared" si="224"/>
        <v>45.4088536203641</v>
      </c>
      <c r="S273" s="4">
        <f t="shared" si="225"/>
        <v>1.54877240927667</v>
      </c>
      <c r="T273" s="4" t="str">
        <f t="shared" si="214"/>
        <v>1+0,349563377366805i</v>
      </c>
      <c r="U273" s="4">
        <f t="shared" si="226"/>
        <v>1.05933684670934</v>
      </c>
      <c r="V273" s="4">
        <f t="shared" si="227"/>
        <v>0.336285793051436</v>
      </c>
      <c r="W273" t="str">
        <f t="shared" si="215"/>
        <v>1-1,00321122331035i</v>
      </c>
      <c r="X273" s="4">
        <f t="shared" si="228"/>
        <v>1.41648606014173</v>
      </c>
      <c r="Y273" s="4">
        <f t="shared" si="229"/>
        <v>-0.787001199823327</v>
      </c>
      <c r="Z273" t="str">
        <f t="shared" si="216"/>
        <v>0,999897230578629+0,0692693463714286i</v>
      </c>
      <c r="AA273" s="4">
        <f t="shared" si="230"/>
        <v>1.00229372644227</v>
      </c>
      <c r="AB273" s="4">
        <f t="shared" si="231"/>
        <v>0.0691659593722502</v>
      </c>
      <c r="AC273" s="67" t="str">
        <f t="shared" si="232"/>
        <v>-0,858782032814839-1,58002669239594i</v>
      </c>
      <c r="AD273" s="68">
        <f t="shared" si="233"/>
        <v>5.09738797364493</v>
      </c>
      <c r="AE273" s="31">
        <f t="shared" si="234"/>
        <v>-118.525130605416</v>
      </c>
      <c r="AF273" s="32" t="str">
        <f t="shared" si="235"/>
        <v>432,040091031901</v>
      </c>
      <c r="AG273" s="32" t="str">
        <f t="shared" si="217"/>
        <v>1+36,9908335837888i</v>
      </c>
      <c r="AH273" s="32">
        <f t="shared" si="236"/>
        <v>37.0043479772791</v>
      </c>
      <c r="AI273" s="32">
        <f t="shared" si="237"/>
        <v>1.54376918513609</v>
      </c>
      <c r="AJ273" s="32" t="str">
        <f t="shared" si="218"/>
        <v>1+0,349563377366805i</v>
      </c>
      <c r="AK273" s="32">
        <f t="shared" si="238"/>
        <v>1.05933684670934</v>
      </c>
      <c r="AL273" s="32">
        <f t="shared" si="239"/>
        <v>0.336285793051436</v>
      </c>
      <c r="AM273" s="32" t="str">
        <f t="shared" si="219"/>
        <v>1-0,103199234984236i</v>
      </c>
      <c r="AN273" s="32">
        <f t="shared" si="240"/>
        <v>1.00531093801934</v>
      </c>
      <c r="AO273" s="32">
        <f t="shared" si="241"/>
        <v>-0.102835198272253</v>
      </c>
      <c r="AP273" s="30" t="str">
        <f t="shared" si="242"/>
        <v>3,20224225549708-12,0144238661081i</v>
      </c>
      <c r="AQ273" s="32">
        <f t="shared" si="243"/>
        <v>21.892115579467</v>
      </c>
      <c r="AR273" s="31">
        <f t="shared" si="244"/>
        <v>-75.0757250449822</v>
      </c>
      <c r="AS273" t="str">
        <f t="shared" si="220"/>
        <v>-0,000201496259351621</v>
      </c>
      <c r="AT273" t="str">
        <f t="shared" si="221"/>
        <v>0,00500936804172966i</v>
      </c>
      <c r="AU273">
        <f t="shared" si="245"/>
        <v>0.00500936804172966</v>
      </c>
      <c r="AV273">
        <f t="shared" si="246"/>
        <v>1.5707963267949</v>
      </c>
      <c r="AW273" t="str">
        <f t="shared" si="222"/>
        <v>1+0,25647045564528i</v>
      </c>
      <c r="AX273">
        <f t="shared" si="247"/>
        <v>1.03236480694515</v>
      </c>
      <c r="AY273">
        <f t="shared" si="248"/>
        <v>0.251059171350155</v>
      </c>
      <c r="AZ273" t="str">
        <f t="shared" si="223"/>
        <v>1+12,2614705071264i</v>
      </c>
      <c r="BA273">
        <f t="shared" si="249"/>
        <v>12.3021810666699</v>
      </c>
      <c r="BB273">
        <f t="shared" si="250"/>
        <v>1.48942014411918</v>
      </c>
      <c r="BC273" s="30" t="str">
        <f t="shared" si="251"/>
        <v>-0,453085153213175+0,156426843748648i</v>
      </c>
      <c r="BD273" s="32">
        <f t="shared" si="252"/>
        <v>-6.38734057930552</v>
      </c>
      <c r="BE273" s="31">
        <f t="shared" si="253"/>
        <v>160.95285725338</v>
      </c>
      <c r="BF273" s="30" t="str">
        <f t="shared" si="254"/>
        <v>0,636259977444746+0,581550073143847i</v>
      </c>
      <c r="BG273" s="68">
        <f t="shared" si="255"/>
        <v>-1.28995260566059</v>
      </c>
      <c r="BH273" s="31">
        <f t="shared" si="256"/>
        <v>42.4277266479641</v>
      </c>
      <c r="BI273" s="30" t="str">
        <f t="shared" si="263"/>
        <v>0,428489981876121+5,94447372708957i</v>
      </c>
      <c r="BJ273" s="68">
        <f t="shared" si="257"/>
        <v>15.5047750001615</v>
      </c>
      <c r="BK273" s="31">
        <f t="shared" si="264"/>
        <v>85.8771322083979</v>
      </c>
      <c r="BL273" s="32">
        <f t="shared" si="258"/>
        <v>-1.28995260566059</v>
      </c>
      <c r="BM273" s="31">
        <f t="shared" si="259"/>
        <v>42.4277266479641</v>
      </c>
      <c r="BO273">
        <f t="shared" si="260"/>
        <v>0</v>
      </c>
      <c r="BP273">
        <f t="shared" si="261"/>
        <v>0</v>
      </c>
    </row>
    <row r="274" spans="14:68">
      <c r="N274" s="7">
        <v>56</v>
      </c>
      <c r="O274" s="18">
        <f t="shared" si="262"/>
        <v>3630.78054770102</v>
      </c>
      <c r="P274" s="86" t="str">
        <f t="shared" si="212"/>
        <v>54,5454545454545</v>
      </c>
      <c r="Q274" s="4" t="str">
        <f t="shared" si="213"/>
        <v>1+46,4552927814864i</v>
      </c>
      <c r="R274" s="4">
        <f t="shared" si="224"/>
        <v>46.4660545711988</v>
      </c>
      <c r="S274" s="4">
        <f t="shared" si="225"/>
        <v>1.54927357823822</v>
      </c>
      <c r="T274" s="4" t="str">
        <f t="shared" si="214"/>
        <v>1+0,357705754417445i</v>
      </c>
      <c r="U274" s="4">
        <f t="shared" si="226"/>
        <v>1.06205150851706</v>
      </c>
      <c r="V274" s="4">
        <f t="shared" si="227"/>
        <v>0.343523072499667</v>
      </c>
      <c r="W274" t="str">
        <f t="shared" si="215"/>
        <v>1-1,02657901459088i</v>
      </c>
      <c r="X274" s="4">
        <f t="shared" si="228"/>
        <v>1.43313100350191</v>
      </c>
      <c r="Y274" s="4">
        <f t="shared" si="229"/>
        <v>-0.798512624079864</v>
      </c>
      <c r="Z274" t="str">
        <f t="shared" si="216"/>
        <v>0,999892387205016+0,0708828367217514i</v>
      </c>
      <c r="AA274" s="4">
        <f t="shared" si="230"/>
        <v>1.00240169719143</v>
      </c>
      <c r="AB274" s="4">
        <f t="shared" si="231"/>
        <v>0.0707720698791593</v>
      </c>
      <c r="AC274" s="67" t="str">
        <f t="shared" si="232"/>
        <v>-0,861165260631861-1,56059301069219i</v>
      </c>
      <c r="AD274" s="68">
        <f t="shared" si="233"/>
        <v>5.02024890595152</v>
      </c>
      <c r="AE274" s="31">
        <f t="shared" si="234"/>
        <v>-118.890759283757</v>
      </c>
      <c r="AF274" s="32" t="str">
        <f t="shared" si="235"/>
        <v>432,040091031901</v>
      </c>
      <c r="AG274" s="32" t="str">
        <f t="shared" si="217"/>
        <v>1+37,8524607849148i</v>
      </c>
      <c r="AH274" s="32">
        <f t="shared" si="236"/>
        <v>37.8656676617951</v>
      </c>
      <c r="AI274" s="32">
        <f t="shared" si="237"/>
        <v>1.54438410858337</v>
      </c>
      <c r="AJ274" s="32" t="str">
        <f t="shared" si="218"/>
        <v>1+0,357705754417445i</v>
      </c>
      <c r="AK274" s="32">
        <f t="shared" si="238"/>
        <v>1.06205150851706</v>
      </c>
      <c r="AL274" s="32">
        <f t="shared" si="239"/>
        <v>0.343523072499667</v>
      </c>
      <c r="AM274" s="32" t="str">
        <f t="shared" si="219"/>
        <v>1-0,105603053968104i</v>
      </c>
      <c r="AN274" s="32">
        <f t="shared" si="240"/>
        <v>1.00556054268621</v>
      </c>
      <c r="AO274" s="32">
        <f t="shared" si="241"/>
        <v>-0.105213098006983</v>
      </c>
      <c r="AP274" s="30" t="str">
        <f t="shared" si="242"/>
        <v>3,18814657876621-11,7607196977871i</v>
      </c>
      <c r="AQ274" s="32">
        <f t="shared" si="243"/>
        <v>21.7166446770879</v>
      </c>
      <c r="AR274" s="31">
        <f t="shared" si="244"/>
        <v>-74.8325356145998</v>
      </c>
      <c r="AS274" t="str">
        <f t="shared" si="220"/>
        <v>-0,000201496259351621</v>
      </c>
      <c r="AT274" t="str">
        <f t="shared" si="221"/>
        <v>0,00512605121285714i</v>
      </c>
      <c r="AU274">
        <f t="shared" si="245"/>
        <v>0.00512605121285714</v>
      </c>
      <c r="AV274">
        <f t="shared" si="246"/>
        <v>1.5707963267949</v>
      </c>
      <c r="AW274" t="str">
        <f t="shared" si="222"/>
        <v>1+0,262444419988867i</v>
      </c>
      <c r="AX274">
        <f t="shared" si="247"/>
        <v>1.03386511382447</v>
      </c>
      <c r="AY274">
        <f t="shared" si="248"/>
        <v>0.256656332636836</v>
      </c>
      <c r="AZ274" t="str">
        <f t="shared" si="223"/>
        <v>1+12,5470768449997i</v>
      </c>
      <c r="BA274">
        <f t="shared" si="249"/>
        <v>12.5868636822017</v>
      </c>
      <c r="BB274">
        <f t="shared" si="250"/>
        <v>1.49126460073012</v>
      </c>
      <c r="BC274" s="30" t="str">
        <f t="shared" si="251"/>
        <v>-0,451771106463788+0,157873086585409i</v>
      </c>
      <c r="BD274" s="32">
        <f t="shared" si="252"/>
        <v>-6.40124609720688</v>
      </c>
      <c r="BE274" s="31">
        <f t="shared" si="253"/>
        <v>160.737843113701</v>
      </c>
      <c r="BF274" s="30" t="str">
        <f t="shared" si="254"/>
        <v>0,635425218145424+0,569076013423985i</v>
      </c>
      <c r="BG274" s="68">
        <f t="shared" si="255"/>
        <v>-1.38099719125536</v>
      </c>
      <c r="BH274" s="31">
        <f t="shared" si="256"/>
        <v>41.8470838299445</v>
      </c>
      <c r="BI274" s="30" t="str">
        <f t="shared" si="263"/>
        <v>0,416388611697517+5,81647589155628i</v>
      </c>
      <c r="BJ274" s="68">
        <f t="shared" si="257"/>
        <v>15.3153985798811</v>
      </c>
      <c r="BK274" s="31">
        <f t="shared" si="264"/>
        <v>85.9053074991017</v>
      </c>
      <c r="BL274" s="32">
        <f t="shared" si="258"/>
        <v>-1.38099719125536</v>
      </c>
      <c r="BM274" s="31">
        <f t="shared" si="259"/>
        <v>41.8470838299445</v>
      </c>
      <c r="BO274">
        <f t="shared" si="260"/>
        <v>0</v>
      </c>
      <c r="BP274">
        <f t="shared" si="261"/>
        <v>0</v>
      </c>
    </row>
    <row r="275" spans="14:68">
      <c r="N275" s="7">
        <v>57</v>
      </c>
      <c r="O275" s="18">
        <f t="shared" si="262"/>
        <v>3715.35229097172</v>
      </c>
      <c r="P275" s="86" t="str">
        <f t="shared" ref="P275:P338" si="265">COMPLEX(Adc,0)</f>
        <v>54,5454545454545</v>
      </c>
      <c r="Q275" s="4" t="str">
        <f t="shared" ref="Q275:Q338" si="266">IMSUM(COMPLEX(1,0),IMDIV(COMPLEX(0,2*PI()*O275),COMPLEX(wp_lf,0)))</f>
        <v>1+47,5373755576455i</v>
      </c>
      <c r="R275" s="4">
        <f t="shared" si="224"/>
        <v>47.5478924339306</v>
      </c>
      <c r="S275" s="4">
        <f t="shared" si="225"/>
        <v>1.54976334965051</v>
      </c>
      <c r="T275" s="4" t="str">
        <f t="shared" ref="T275:T338" si="267">IMSUM(COMPLEX(1,0),IMDIV(COMPLEX(0,2*PI()*O275),COMPLEX(wz_esr,0)))</f>
        <v>1+0,366037791793871i</v>
      </c>
      <c r="U275" s="4">
        <f t="shared" si="226"/>
        <v>1.06488669116547</v>
      </c>
      <c r="V275" s="4">
        <f t="shared" si="227"/>
        <v>0.350890335243878</v>
      </c>
      <c r="W275" t="str">
        <f t="shared" ref="W275:W338" si="268">IMSUB(COMPLEX(1,0),IMDIV(COMPLEX(0,2*PI()*O275),COMPLEX(wz_rhp,0)))</f>
        <v>1-1,05049111165333i</v>
      </c>
      <c r="X275" s="4">
        <f t="shared" si="228"/>
        <v>1.45035567212413</v>
      </c>
      <c r="Y275" s="4">
        <f t="shared" si="229"/>
        <v>-0.810017099905248</v>
      </c>
      <c r="Z275" t="str">
        <f t="shared" ref="Z275:Z338" si="269">IMSUM(COMPLEX(1,0),IMDIV(COMPLEX(0,2*PI()*O275),COMPLEX(Q*(wsl/2),0)),IMDIV(IMPOWER(COMPLEX(0,2*PI()*O275),2),IMPOWER(COMPLEX(wsl/2,0),2)))</f>
        <v>0,999887315570236+0,0725339100903488i</v>
      </c>
      <c r="AA275" s="4">
        <f t="shared" si="230"/>
        <v>1.00251474400691</v>
      </c>
      <c r="AB275" s="4">
        <f t="shared" si="231"/>
        <v>0.0724152373456712</v>
      </c>
      <c r="AC275" s="67" t="str">
        <f t="shared" si="232"/>
        <v>-0,863548938411213-1,54197679154513i</v>
      </c>
      <c r="AD275" s="68">
        <f t="shared" si="233"/>
        <v>4.94628884440465</v>
      </c>
      <c r="AE275" s="31">
        <f t="shared" si="234"/>
        <v>-119.250012527969</v>
      </c>
      <c r="AF275" s="32" t="str">
        <f t="shared" si="235"/>
        <v>432,040091031901</v>
      </c>
      <c r="AG275" s="32" t="str">
        <f t="shared" ref="AG275:AG338" si="270">IMSUM(COMPLEX(1,0),IMDIV(COMPLEX(0,2*PI()*O275),COMPLEX(wp_lf_DCM,0)))</f>
        <v>1+38,7341578617852i</v>
      </c>
      <c r="AH275" s="32">
        <f t="shared" si="236"/>
        <v>38.7470642147466</v>
      </c>
      <c r="AI275" s="32">
        <f t="shared" si="237"/>
        <v>1.54498505397031</v>
      </c>
      <c r="AJ275" s="32" t="str">
        <f t="shared" ref="AJ275:AJ338" si="271">IMSUM(COMPLEX(1,0),IMDIV(COMPLEX(0,2*PI()*O275),COMPLEX(wz1_dcm,0)))</f>
        <v>1+0,366037791793871i</v>
      </c>
      <c r="AK275" s="32">
        <f t="shared" si="238"/>
        <v>1.06488669116547</v>
      </c>
      <c r="AL275" s="32">
        <f t="shared" si="239"/>
        <v>0.350890335243878</v>
      </c>
      <c r="AM275" s="32" t="str">
        <f t="shared" ref="AM275:AM338" si="272">IMSUB(COMPLEX(1,0),IMDIV(COMPLEX(0,2*PI()*O275),COMPLEX(wz2_dcm,0)))</f>
        <v>1-0,108062865089007i</v>
      </c>
      <c r="AN275" s="32">
        <f t="shared" si="240"/>
        <v>1.00582184446911</v>
      </c>
      <c r="AO275" s="32">
        <f t="shared" si="241"/>
        <v>-0.107645150260578</v>
      </c>
      <c r="AP275" s="30" t="str">
        <f t="shared" si="242"/>
        <v>3,17468444695067-11,5132177120244i</v>
      </c>
      <c r="AQ275" s="32">
        <f t="shared" si="243"/>
        <v>21.5421941827105</v>
      </c>
      <c r="AR275" s="31">
        <f t="shared" si="244"/>
        <v>-74.5842005168686</v>
      </c>
      <c r="AS275" t="str">
        <f t="shared" ref="AS275:AS338" si="273">COMPLEX(Adc_ea,0)</f>
        <v>-0,000201496259351621</v>
      </c>
      <c r="AT275" t="str">
        <f t="shared" ref="AT275:AT338" si="274">COMPLEX(0,2*PI()*O275*wp0_ea)</f>
        <v>0,00524545228418895i</v>
      </c>
      <c r="AU275">
        <f t="shared" si="245"/>
        <v>0.00524545228418895</v>
      </c>
      <c r="AV275">
        <f t="shared" si="246"/>
        <v>1.5707963267949</v>
      </c>
      <c r="AW275" t="str">
        <f t="shared" ref="AW275:AW338" si="275">IMSUM(COMPLEX(1,0),IMDIV(COMPLEX(0,2*PI()*O275),COMPLEX(wp1_ea,0)))</f>
        <v>1+0,268557535837794i</v>
      </c>
      <c r="AX275">
        <f t="shared" si="247"/>
        <v>1.03543379800703</v>
      </c>
      <c r="AY275">
        <f t="shared" si="248"/>
        <v>0.262366893554157</v>
      </c>
      <c r="AZ275" t="str">
        <f t="shared" ref="AZ275:AZ338" si="276">IMSUM(COMPLEX(1,0),IMDIV(COMPLEX(0,2*PI()*O275),COMPLEX(wz_ea,0)))</f>
        <v>1+12,8393358090962i</v>
      </c>
      <c r="BA275">
        <f t="shared" si="249"/>
        <v>12.8782197534729</v>
      </c>
      <c r="BB275">
        <f t="shared" si="250"/>
        <v>1.49306759653226</v>
      </c>
      <c r="BC275" s="30" t="str">
        <f t="shared" si="251"/>
        <v>-0,450403275203604+0,159372708598253i</v>
      </c>
      <c r="BD275" s="32">
        <f t="shared" si="252"/>
        <v>-6.41564915749309</v>
      </c>
      <c r="BE275" s="31">
        <f t="shared" si="253"/>
        <v>160.513956124429</v>
      </c>
      <c r="BF275" s="30" t="str">
        <f t="shared" si="254"/>
        <v>0,634694288023197+0,55688526387813i</v>
      </c>
      <c r="BG275" s="68">
        <f t="shared" si="255"/>
        <v>-1.46936031308844</v>
      </c>
      <c r="BH275" s="31">
        <f t="shared" si="256"/>
        <v>41.2639435964597</v>
      </c>
      <c r="BI275" s="30" t="str">
        <f t="shared" si="263"/>
        <v>0,405004418802186+5,69154902488321i</v>
      </c>
      <c r="BJ275" s="68">
        <f t="shared" si="257"/>
        <v>15.1265450252174</v>
      </c>
      <c r="BK275" s="31">
        <f t="shared" si="264"/>
        <v>85.9297556075601</v>
      </c>
      <c r="BL275" s="32">
        <f t="shared" si="258"/>
        <v>-1.46936031308844</v>
      </c>
      <c r="BM275" s="31">
        <f t="shared" si="259"/>
        <v>41.2639435964597</v>
      </c>
      <c r="BO275">
        <f t="shared" si="260"/>
        <v>0</v>
      </c>
      <c r="BP275">
        <f t="shared" si="261"/>
        <v>0</v>
      </c>
    </row>
    <row r="276" spans="14:68">
      <c r="N276" s="7">
        <v>58</v>
      </c>
      <c r="O276" s="18">
        <f t="shared" si="262"/>
        <v>3801.89396320562</v>
      </c>
      <c r="P276" s="86" t="str">
        <f t="shared" si="265"/>
        <v>54,5454545454545</v>
      </c>
      <c r="Q276" s="4" t="str">
        <f t="shared" si="266"/>
        <v>1+48,6446632795572i</v>
      </c>
      <c r="R276" s="4">
        <f t="shared" ref="R276:R339" si="277">IMABS(Q276)</f>
        <v>48.6549408136676</v>
      </c>
      <c r="S276" s="4">
        <f t="shared" ref="S276:S339" si="278">IMARGUMENT(Q276)</f>
        <v>1.55024198225641</v>
      </c>
      <c r="T276" s="4" t="str">
        <f t="shared" si="267"/>
        <v>1+0,374563907252591i</v>
      </c>
      <c r="U276" s="4">
        <f t="shared" ref="U276:U339" si="279">IMABS(T276)</f>
        <v>1.06784742384684</v>
      </c>
      <c r="V276" s="4">
        <f t="shared" ref="V276:V339" si="280">IMARGUMENT(T276)</f>
        <v>0.358388287577729</v>
      </c>
      <c r="W276" t="str">
        <f t="shared" si="268"/>
        <v>1-1,07496019300807i</v>
      </c>
      <c r="X276" s="4">
        <f t="shared" ref="X276:X339" si="281">IMABS(W276)</f>
        <v>1.46817554010137</v>
      </c>
      <c r="Y276" s="4">
        <f t="shared" ref="Y276:Y339" si="282">IMARGUMENT(W276)</f>
        <v>-0.821508546977352</v>
      </c>
      <c r="Z276" t="str">
        <f t="shared" si="269"/>
        <v>0,999882004916674+0,0742234418981765i</v>
      </c>
      <c r="AA276" s="4">
        <f t="shared" ref="AA276:AA339" si="283">IMABS(Z276)</f>
        <v>1.00263310492094</v>
      </c>
      <c r="AB276" s="4">
        <f t="shared" ref="AB276:AB339" si="284">IMARGUMENT(Z276)</f>
        <v>0.0740962997811383</v>
      </c>
      <c r="AC276" s="67" t="str">
        <f t="shared" ref="AC276:AC339" si="285">(IMDIV(IMPRODUCT(P276,T276,W276),IMPRODUCT(Q276,Z276)))</f>
        <v>-0,865938039285407-1,52416777950416i</v>
      </c>
      <c r="AD276" s="68">
        <f t="shared" ref="AD276:AD339" si="286">20*LOG(IMABS(AC276))</f>
        <v>4.87553530562648</v>
      </c>
      <c r="AE276" s="31">
        <f t="shared" ref="AE276:AE339" si="287">(180/PI())*IMARGUMENT(AC276)</f>
        <v>-119.602564332884</v>
      </c>
      <c r="AF276" s="32" t="str">
        <f t="shared" ref="AF276:AF339" si="288">COMPLEX($B$68,0)</f>
        <v>432,040091031901</v>
      </c>
      <c r="AG276" s="32" t="str">
        <f t="shared" si="270"/>
        <v>1+39,6363923018614i</v>
      </c>
      <c r="AH276" s="32">
        <f t="shared" ref="AH276:AH339" si="289">IMABS(AG276)</f>
        <v>39.6490049649049</v>
      </c>
      <c r="AI276" s="32">
        <f t="shared" ref="AI276:AI339" si="290">IMARGUMENT(AG276)</f>
        <v>1.54557233818894</v>
      </c>
      <c r="AJ276" s="32" t="str">
        <f t="shared" si="271"/>
        <v>1+0,374563907252591i</v>
      </c>
      <c r="AK276" s="32">
        <f t="shared" ref="AK276:AK339" si="291">IMABS(AJ276)</f>
        <v>1.06784742384684</v>
      </c>
      <c r="AL276" s="32">
        <f t="shared" ref="AL276:AL339" si="292">IMARGUMENT(AJ276)</f>
        <v>0.358388287577729</v>
      </c>
      <c r="AM276" s="32" t="str">
        <f t="shared" si="272"/>
        <v>1-0,110579972571362i</v>
      </c>
      <c r="AN276" s="32">
        <f t="shared" ref="AN276:AN339" si="293">IMABS(AM276)</f>
        <v>1.00609538828775</v>
      </c>
      <c r="AO276" s="32">
        <f t="shared" ref="AO276:AO339" si="294">IMARGUMENT(AM276)</f>
        <v>-0.110132529394287</v>
      </c>
      <c r="AP276" s="30" t="str">
        <f t="shared" ref="AP276:AP339" si="295">(IMDIV(IMPRODUCT(AF276,AJ276,AM276),IMPRODUCT(AG276)))</f>
        <v>3,16182742187221-11,2717889134718i</v>
      </c>
      <c r="AQ276" s="32">
        <f t="shared" ref="AQ276:AQ339" si="296">20*LOG(IMABS(AP276))</f>
        <v>21.3688023756827</v>
      </c>
      <c r="AR276" s="31">
        <f t="shared" ref="AR276:AR339" si="297">(180/PI())*IMARGUMENT(AP276)</f>
        <v>-74.3307647266613</v>
      </c>
      <c r="AS276" t="str">
        <f t="shared" si="273"/>
        <v>-0,000201496259351621</v>
      </c>
      <c r="AT276" t="str">
        <f t="shared" si="274"/>
        <v>0,00536763456375365i</v>
      </c>
      <c r="AU276">
        <f t="shared" ref="AU276:AU339" si="298">IMABS(AT276)</f>
        <v>0.00536763456375365</v>
      </c>
      <c r="AV276">
        <f t="shared" ref="AV276:AV339" si="299">IMARGUMENT(AT276)</f>
        <v>1.5707963267949</v>
      </c>
      <c r="AW276" t="str">
        <f t="shared" si="275"/>
        <v>1+0,274813044447003i</v>
      </c>
      <c r="AX276">
        <f t="shared" ref="AX276:AX339" si="300">IMABS(AW276)</f>
        <v>1.03707386882431</v>
      </c>
      <c r="AY276">
        <f t="shared" ref="AY276:AY339" si="301">IMARGUMENT(AW276)</f>
        <v>0.268192391510065</v>
      </c>
      <c r="AZ276" t="str">
        <f t="shared" si="276"/>
        <v>1+13,1384023589876i</v>
      </c>
      <c r="BA276">
        <f t="shared" ref="BA276:BA339" si="302">IMABS(AZ276)</f>
        <v>13.1764037789774</v>
      </c>
      <c r="BB276">
        <f t="shared" ref="BB276:BB339" si="303">IMARGUMENT(AZ276)</f>
        <v>1.49483004058231</v>
      </c>
      <c r="BC276" s="30" t="str">
        <f t="shared" ref="BC276:BC339" si="304">IMPRODUCT(AS276,IMDIV(AZ276,IMPRODUCT(AT276,AW276)))</f>
        <v>-0,448979829506898+0,160924630366948i</v>
      </c>
      <c r="BD276" s="32">
        <f t="shared" ref="BD276:BD339" si="305">20*LOG(IMABS(BC276))</f>
        <v>-6.43057498333637</v>
      </c>
      <c r="BE276" s="31">
        <f t="shared" ref="BE276:BE339" si="306">(180/PI())*IMARGUMENT(BC276)</f>
        <v>160.281160283689</v>
      </c>
      <c r="BF276" s="30" t="str">
        <f t="shared" ref="BF276:BF339" si="307">IMPRODUCT(AC276,BC276)</f>
        <v>0,634064849775818+0,544969830889001i</v>
      </c>
      <c r="BG276" s="68">
        <f t="shared" ref="BG276:BG339" si="308">20*LOG(IMABS(BF276))</f>
        <v>-1.55503967770989</v>
      </c>
      <c r="BH276" s="31">
        <f t="shared" ref="BH276:BH339" si="309">(180/PI())*IMARGUMENT(BF276)</f>
        <v>40.6785959508047</v>
      </c>
      <c r="BI276" s="30" t="str">
        <f t="shared" si="263"/>
        <v>0,394311727672292+5,56962177375718i</v>
      </c>
      <c r="BJ276" s="68">
        <f t="shared" ref="BJ276:BJ339" si="310">20*LOG(IMABS(BI276))</f>
        <v>14.9382273923463</v>
      </c>
      <c r="BK276" s="31">
        <f t="shared" si="264"/>
        <v>85.9503955570277</v>
      </c>
      <c r="BL276" s="32">
        <f t="shared" ref="BL276:BL339" si="311">IF($B$31=0,BJ276,BG276)</f>
        <v>-1.55503967770989</v>
      </c>
      <c r="BM276" s="31">
        <f t="shared" ref="BM276:BM339" si="312">IF($B$31=0,BK276,BH276)</f>
        <v>40.6785959508047</v>
      </c>
      <c r="BO276">
        <f t="shared" ref="BO276:BO339" si="313">SUM((BL277&lt;0)*(BL276&gt;0))*O276</f>
        <v>0</v>
      </c>
      <c r="BP276">
        <f t="shared" ref="BP276:BP339" si="314">IF(BO276&gt;0,BM276,0)</f>
        <v>0</v>
      </c>
    </row>
    <row r="277" spans="14:68">
      <c r="N277" s="7">
        <v>59</v>
      </c>
      <c r="O277" s="18">
        <f t="shared" si="262"/>
        <v>3890.45144994281</v>
      </c>
      <c r="P277" s="86" t="str">
        <f t="shared" si="265"/>
        <v>54,5454545454545</v>
      </c>
      <c r="Q277" s="4" t="str">
        <f t="shared" si="266"/>
        <v>1+49,7777430458279i</v>
      </c>
      <c r="R277" s="4">
        <f t="shared" si="277"/>
        <v>49.7877866824432</v>
      </c>
      <c r="S277" s="4">
        <f t="shared" si="278"/>
        <v>1.55070972895556</v>
      </c>
      <c r="T277" s="4" t="str">
        <f t="shared" si="267"/>
        <v>1+0,383288621452875i</v>
      </c>
      <c r="U277" s="4">
        <f t="shared" si="279"/>
        <v>1.07093891858278</v>
      </c>
      <c r="V277" s="4">
        <f t="shared" si="280"/>
        <v>0.36601753178954</v>
      </c>
      <c r="W277" t="str">
        <f t="shared" si="268"/>
        <v>1-1,09999923248593i</v>
      </c>
      <c r="X277" s="4">
        <f t="shared" si="281"/>
        <v>1.48660630681752</v>
      </c>
      <c r="Y277" s="4">
        <f t="shared" si="282"/>
        <v>-0.832980919382865</v>
      </c>
      <c r="Z277" t="str">
        <f t="shared" si="269"/>
        <v>0,99987644397972+0,0759523279573618i</v>
      </c>
      <c r="AA277" s="4">
        <f t="shared" si="283"/>
        <v>1.00275702906919</v>
      </c>
      <c r="AB277" s="4">
        <f t="shared" si="284"/>
        <v>0.0758161129361166</v>
      </c>
      <c r="AC277" s="67" t="str">
        <f t="shared" si="285"/>
        <v>-0,868337541189667-1,5071560986759i</v>
      </c>
      <c r="AD277" s="68">
        <f t="shared" si="286"/>
        <v>4.80801404909716</v>
      </c>
      <c r="AE277" s="31">
        <f t="shared" si="287"/>
        <v>-119.948097305585</v>
      </c>
      <c r="AF277" s="32" t="str">
        <f t="shared" si="288"/>
        <v>432,040091031901</v>
      </c>
      <c r="AG277" s="32" t="str">
        <f t="shared" si="270"/>
        <v>1+40,5596424817857i</v>
      </c>
      <c r="AH277" s="32">
        <f t="shared" si="289"/>
        <v>40.5719681338024</v>
      </c>
      <c r="AI277" s="32">
        <f t="shared" si="290"/>
        <v>1.54614627100376</v>
      </c>
      <c r="AJ277" s="32" t="str">
        <f t="shared" si="271"/>
        <v>1+0,383288621452875i</v>
      </c>
      <c r="AK277" s="32">
        <f t="shared" si="291"/>
        <v>1.07093891858278</v>
      </c>
      <c r="AL277" s="32">
        <f t="shared" si="292"/>
        <v>0.36601753178954</v>
      </c>
      <c r="AM277" s="32" t="str">
        <f t="shared" si="272"/>
        <v>1-0,113155711018872i</v>
      </c>
      <c r="AN277" s="32">
        <f t="shared" si="293"/>
        <v>1.00638174413897</v>
      </c>
      <c r="AO277" s="32">
        <f t="shared" si="294"/>
        <v>-0.112676431066119</v>
      </c>
      <c r="AP277" s="30" t="str">
        <f t="shared" si="295"/>
        <v>3,14954833860028-11,0363073781106i</v>
      </c>
      <c r="AQ277" s="32">
        <f t="shared" si="296"/>
        <v>21.1965084923408</v>
      </c>
      <c r="AR277" s="31">
        <f t="shared" si="297"/>
        <v>-74.0722799897549</v>
      </c>
      <c r="AS277" t="str">
        <f t="shared" si="273"/>
        <v>-0,000201496259351621</v>
      </c>
      <c r="AT277" t="str">
        <f t="shared" si="274"/>
        <v>0,00549266283421307i</v>
      </c>
      <c r="AU277">
        <f t="shared" si="298"/>
        <v>0.00549266283421307</v>
      </c>
      <c r="AV277">
        <f t="shared" si="299"/>
        <v>1.5707963267949</v>
      </c>
      <c r="AW277" t="str">
        <f t="shared" si="275"/>
        <v>1+0,281214262569958i</v>
      </c>
      <c r="AX277">
        <f t="shared" si="300"/>
        <v>1.03878845848073</v>
      </c>
      <c r="AY277">
        <f t="shared" si="301"/>
        <v>0.274134333047972</v>
      </c>
      <c r="AZ277" t="str">
        <f t="shared" si="276"/>
        <v>1+13,4444350637169i</v>
      </c>
      <c r="BA277">
        <f t="shared" si="302"/>
        <v>13.4815738763136</v>
      </c>
      <c r="BB277">
        <f t="shared" si="303"/>
        <v>1.4965528235308</v>
      </c>
      <c r="BC277" s="30" t="str">
        <f t="shared" si="304"/>
        <v>-0,447498910367192+0,162527697989661i</v>
      </c>
      <c r="BD277" s="32">
        <f t="shared" si="305"/>
        <v>-6.44604944903973</v>
      </c>
      <c r="BE277" s="31">
        <f t="shared" si="306"/>
        <v>160.039420303419</v>
      </c>
      <c r="BF277" s="30" t="str">
        <f t="shared" si="307"/>
        <v>0,633534714742175+0,533321810263174i</v>
      </c>
      <c r="BG277" s="68">
        <f t="shared" si="308"/>
        <v>-1.63803539994257</v>
      </c>
      <c r="BH277" s="31">
        <f t="shared" si="309"/>
        <v>40.0913229978338</v>
      </c>
      <c r="BI277" s="30" t="str">
        <f t="shared" si="263"/>
        <v>0,384286182798202+5,45062436736176i</v>
      </c>
      <c r="BJ277" s="68">
        <f t="shared" si="310"/>
        <v>14.7504590433011</v>
      </c>
      <c r="BK277" s="31">
        <f t="shared" si="264"/>
        <v>85.9671403136641</v>
      </c>
      <c r="BL277" s="32">
        <f t="shared" si="311"/>
        <v>-1.63803539994257</v>
      </c>
      <c r="BM277" s="31">
        <f t="shared" si="312"/>
        <v>40.0913229978338</v>
      </c>
      <c r="BO277">
        <f t="shared" si="313"/>
        <v>0</v>
      </c>
      <c r="BP277">
        <f t="shared" si="314"/>
        <v>0</v>
      </c>
    </row>
    <row r="278" spans="14:68">
      <c r="N278" s="7">
        <v>60</v>
      </c>
      <c r="O278" s="18">
        <f t="shared" si="262"/>
        <v>3981.07170553498</v>
      </c>
      <c r="P278" s="86" t="str">
        <f t="shared" si="265"/>
        <v>54,5454545454545</v>
      </c>
      <c r="Q278" s="4" t="str">
        <f t="shared" si="266"/>
        <v>1+50,9372156303478i</v>
      </c>
      <c r="R278" s="4">
        <f t="shared" si="277"/>
        <v>50.9470306904391</v>
      </c>
      <c r="S278" s="4">
        <f t="shared" si="278"/>
        <v>1.5511668369343</v>
      </c>
      <c r="T278" s="4" t="str">
        <f t="shared" si="267"/>
        <v>1+0,392216560353678i</v>
      </c>
      <c r="U278" s="4">
        <f t="shared" si="279"/>
        <v>1.07416657470602</v>
      </c>
      <c r="V278" s="4">
        <f t="shared" si="280"/>
        <v>0.373778559495469</v>
      </c>
      <c r="W278" t="str">
        <f t="shared" si="268"/>
        <v>1-1,12562150611706i</v>
      </c>
      <c r="X278" s="4">
        <f t="shared" si="281"/>
        <v>1.50566389842927</v>
      </c>
      <c r="Y278" s="4">
        <f t="shared" si="282"/>
        <v>-0.844428221415879</v>
      </c>
      <c r="Z278" t="str">
        <f t="shared" si="269"/>
        <v>0,999870620963881+0,077721484946178i</v>
      </c>
      <c r="AA278" s="4">
        <f t="shared" si="283"/>
        <v>1.00288677720316</v>
      </c>
      <c r="AB278" s="4">
        <f t="shared" si="284"/>
        <v>0.0775755505909229</v>
      </c>
      <c r="AC278" s="67" t="str">
        <f t="shared" si="285"/>
        <v>-0,870752436677805-1,49093224554217i</v>
      </c>
      <c r="AD278" s="68">
        <f t="shared" si="286"/>
        <v>4.74374908051346</v>
      </c>
      <c r="AE278" s="31">
        <f t="shared" si="287"/>
        <v>-120.286303976555</v>
      </c>
      <c r="AF278" s="32" t="str">
        <f t="shared" si="288"/>
        <v>432,040091031901</v>
      </c>
      <c r="AG278" s="32" t="str">
        <f t="shared" si="270"/>
        <v>1+41,5043979210241i</v>
      </c>
      <c r="AH278" s="32">
        <f t="shared" si="289"/>
        <v>41.5164430892955</v>
      </c>
      <c r="AI278" s="32">
        <f t="shared" si="290"/>
        <v>1.54670715520823</v>
      </c>
      <c r="AJ278" s="32" t="str">
        <f t="shared" si="271"/>
        <v>1+0,392216560353678i</v>
      </c>
      <c r="AK278" s="32">
        <f t="shared" si="291"/>
        <v>1.07416657470602</v>
      </c>
      <c r="AL278" s="32">
        <f t="shared" si="292"/>
        <v>0.373778559495469</v>
      </c>
      <c r="AM278" s="32" t="str">
        <f t="shared" si="272"/>
        <v>1-0,115791446122158i</v>
      </c>
      <c r="AN278" s="32">
        <f t="shared" si="293"/>
        <v>1.00668150822147</v>
      </c>
      <c r="AO278" s="32">
        <f t="shared" si="294"/>
        <v>-0.115278072313448</v>
      </c>
      <c r="AP278" s="30" t="str">
        <f t="shared" si="295"/>
        <v>3,13782124873323-10,8066501963786i</v>
      </c>
      <c r="AQ278" s="32">
        <f t="shared" si="296"/>
        <v>21.0253527156445</v>
      </c>
      <c r="AR278" s="31">
        <f t="shared" si="297"/>
        <v>-73.8088052185123</v>
      </c>
      <c r="AS278" t="str">
        <f t="shared" si="273"/>
        <v>-0,000201496259351621</v>
      </c>
      <c r="AT278" t="str">
        <f t="shared" si="274"/>
        <v>0,00562060338721118i</v>
      </c>
      <c r="AU278">
        <f t="shared" si="298"/>
        <v>0.00562060338721118</v>
      </c>
      <c r="AV278">
        <f t="shared" si="299"/>
        <v>1.5707963267949</v>
      </c>
      <c r="AW278" t="str">
        <f t="shared" si="275"/>
        <v>1+0,287764584217238i</v>
      </c>
      <c r="AX278">
        <f t="shared" si="300"/>
        <v>1.04058082623587</v>
      </c>
      <c r="AY278">
        <f t="shared" si="301"/>
        <v>0.280194189674916</v>
      </c>
      <c r="AZ278" t="str">
        <f t="shared" si="276"/>
        <v>1+13,7575961858752i</v>
      </c>
      <c r="BA278">
        <f t="shared" si="302"/>
        <v>13.7938918660981</v>
      </c>
      <c r="BB278">
        <f t="shared" si="303"/>
        <v>1.49823681789166</v>
      </c>
      <c r="BC278" s="30" t="str">
        <f t="shared" si="304"/>
        <v>-0,445958632445184+0,164180678410714i</v>
      </c>
      <c r="BD278" s="32">
        <f t="shared" si="305"/>
        <v>-6.46209909636704</v>
      </c>
      <c r="BE278" s="31">
        <f t="shared" si="306"/>
        <v>159.788701863842</v>
      </c>
      <c r="BF278" s="30" t="str">
        <f t="shared" si="307"/>
        <v>0,633101833396668+0,521933379508869i</v>
      </c>
      <c r="BG278" s="68">
        <f t="shared" si="308"/>
        <v>-1.71835001585358</v>
      </c>
      <c r="BH278" s="31">
        <f t="shared" si="309"/>
        <v>39.5023978872874</v>
      </c>
      <c r="BI278" s="30" t="str">
        <f t="shared" si="263"/>
        <v>0,374904687646203+5,33448856423905i</v>
      </c>
      <c r="BJ278" s="68">
        <f t="shared" si="310"/>
        <v>14.5632536192774</v>
      </c>
      <c r="BK278" s="31">
        <f t="shared" si="264"/>
        <v>85.9798966453298</v>
      </c>
      <c r="BL278" s="32">
        <f t="shared" si="311"/>
        <v>-1.71835001585358</v>
      </c>
      <c r="BM278" s="31">
        <f t="shared" si="312"/>
        <v>39.5023978872874</v>
      </c>
      <c r="BO278">
        <f t="shared" si="313"/>
        <v>0</v>
      </c>
      <c r="BP278">
        <f t="shared" si="314"/>
        <v>0</v>
      </c>
    </row>
    <row r="279" spans="14:68">
      <c r="N279" s="7">
        <v>61</v>
      </c>
      <c r="O279" s="18">
        <f t="shared" si="262"/>
        <v>4073.80277804113</v>
      </c>
      <c r="P279" s="86" t="str">
        <f t="shared" si="265"/>
        <v>54,5454545454545</v>
      </c>
      <c r="Q279" s="4" t="str">
        <f t="shared" si="266"/>
        <v>1+52,1236958008284i</v>
      </c>
      <c r="R279" s="4">
        <f t="shared" si="277"/>
        <v>52.1332874844594</v>
      </c>
      <c r="S279" s="4">
        <f t="shared" si="278"/>
        <v>1.55161354779278</v>
      </c>
      <c r="T279" s="4" t="str">
        <f t="shared" si="267"/>
        <v>1+0,401352457666379i</v>
      </c>
      <c r="U279" s="4">
        <f t="shared" si="279"/>
        <v>1.0775359832854</v>
      </c>
      <c r="V279" s="4">
        <f t="shared" si="280"/>
        <v>0.381671744879521</v>
      </c>
      <c r="W279" t="str">
        <f t="shared" si="268"/>
        <v>1-1,15184059917009i</v>
      </c>
      <c r="X279" s="4">
        <f t="shared" si="281"/>
        <v>1.52536446985516</v>
      </c>
      <c r="Y279" s="4">
        <f t="shared" si="282"/>
        <v>-0.855844523055337</v>
      </c>
      <c r="Z279" t="str">
        <f t="shared" si="269"/>
        <v>0,99986452351776+0,0795318508950779i</v>
      </c>
      <c r="AA279" s="4">
        <f t="shared" si="283"/>
        <v>1.00302262222554</v>
      </c>
      <c r="AB279" s="4">
        <f t="shared" si="284"/>
        <v>0.0793755048422938</v>
      </c>
      <c r="AC279" s="67" t="str">
        <f t="shared" si="285"/>
        <v>-0,873187742708632-1,4754870817503i</v>
      </c>
      <c r="AD279" s="68">
        <f t="shared" si="286"/>
        <v>4.68276266107529</v>
      </c>
      <c r="AE279" s="31">
        <f t="shared" si="287"/>
        <v>-120.616888097498</v>
      </c>
      <c r="AF279" s="32" t="str">
        <f t="shared" si="288"/>
        <v>432,040091031901</v>
      </c>
      <c r="AG279" s="32" t="str">
        <f t="shared" si="270"/>
        <v>1+42,4711595414157i</v>
      </c>
      <c r="AH279" s="32">
        <f t="shared" si="289"/>
        <v>42.482930605037</v>
      </c>
      <c r="AI279" s="32">
        <f t="shared" si="290"/>
        <v>1.5472552867782</v>
      </c>
      <c r="AJ279" s="32" t="str">
        <f t="shared" si="271"/>
        <v>1+0,401352457666379i</v>
      </c>
      <c r="AK279" s="32">
        <f t="shared" si="291"/>
        <v>1.0775359832854</v>
      </c>
      <c r="AL279" s="32">
        <f t="shared" si="292"/>
        <v>0.381671744879521</v>
      </c>
      <c r="AM279" s="32" t="str">
        <f t="shared" si="272"/>
        <v>1-0,118488575382859i</v>
      </c>
      <c r="AN279" s="32">
        <f t="shared" si="293"/>
        <v>1.00699530410835</v>
      </c>
      <c r="AO279" s="32">
        <f t="shared" si="294"/>
        <v>-0.117938691610294</v>
      </c>
      <c r="AP279" s="30" t="str">
        <f t="shared" si="295"/>
        <v>3,12662136618043-10,5826974172391i</v>
      </c>
      <c r="AQ279" s="32">
        <f t="shared" si="296"/>
        <v>20.8553761613583</v>
      </c>
      <c r="AR279" s="31">
        <f t="shared" si="297"/>
        <v>-73.5404068912692</v>
      </c>
      <c r="AS279" t="str">
        <f t="shared" si="273"/>
        <v>-0,000201496259351621</v>
      </c>
      <c r="AT279" t="str">
        <f t="shared" si="274"/>
        <v>0,00575152405852267i</v>
      </c>
      <c r="AU279">
        <f t="shared" si="298"/>
        <v>0.00575152405852267</v>
      </c>
      <c r="AV279">
        <f t="shared" si="299"/>
        <v>1.5707963267949</v>
      </c>
      <c r="AW279" t="str">
        <f t="shared" si="275"/>
        <v>1+0,294467482456084i</v>
      </c>
      <c r="AX279">
        <f t="shared" si="300"/>
        <v>1.04245436265768</v>
      </c>
      <c r="AY279">
        <f t="shared" si="301"/>
        <v>0.286373393477684</v>
      </c>
      <c r="AZ279" t="str">
        <f t="shared" si="276"/>
        <v>1+14,0780517676345i</v>
      </c>
      <c r="BA279">
        <f t="shared" si="302"/>
        <v>14.1135233578365</v>
      </c>
      <c r="BB279">
        <f t="shared" si="303"/>
        <v>1.49988287831533</v>
      </c>
      <c r="BC279" s="30" t="str">
        <f t="shared" si="304"/>
        <v>-0,444357087174011+0,165882254716596i</v>
      </c>
      <c r="BD279" s="32">
        <f t="shared" si="305"/>
        <v>-6.47875114946494</v>
      </c>
      <c r="BE279" s="31">
        <f t="shared" si="306"/>
        <v>159.528971880292</v>
      </c>
      <c r="BF279" s="30" t="str">
        <f t="shared" si="307"/>
        <v>0,632764285832008+0,510796790258042i</v>
      </c>
      <c r="BG279" s="68">
        <f t="shared" si="308"/>
        <v>-1.79598848838966</v>
      </c>
      <c r="BH279" s="31">
        <f t="shared" si="309"/>
        <v>38.9120837827941</v>
      </c>
      <c r="BI279" s="30" t="str">
        <f t="shared" si="263"/>
        <v>0,366145345583156+5,22114760063539i</v>
      </c>
      <c r="BJ279" s="68">
        <f t="shared" si="310"/>
        <v>14.3766250118934</v>
      </c>
      <c r="BK279" s="31">
        <f t="shared" si="264"/>
        <v>85.9885649890226</v>
      </c>
      <c r="BL279" s="32">
        <f t="shared" si="311"/>
        <v>-1.79598848838966</v>
      </c>
      <c r="BM279" s="31">
        <f t="shared" si="312"/>
        <v>38.9120837827941</v>
      </c>
      <c r="BO279">
        <f t="shared" si="313"/>
        <v>0</v>
      </c>
      <c r="BP279">
        <f t="shared" si="314"/>
        <v>0</v>
      </c>
    </row>
    <row r="280" spans="14:68">
      <c r="N280" s="7">
        <v>62</v>
      </c>
      <c r="O280" s="18">
        <f t="shared" si="262"/>
        <v>4168.69383470336</v>
      </c>
      <c r="P280" s="86" t="str">
        <f t="shared" si="265"/>
        <v>54,5454545454545</v>
      </c>
      <c r="Q280" s="4" t="str">
        <f t="shared" si="266"/>
        <v>1+53,3378126447616i</v>
      </c>
      <c r="R280" s="4">
        <f t="shared" si="277"/>
        <v>53.3471860338265</v>
      </c>
      <c r="S280" s="4">
        <f t="shared" si="278"/>
        <v>1.55205009766949</v>
      </c>
      <c r="T280" s="4" t="str">
        <f t="shared" si="267"/>
        <v>1+0,410701157364665i</v>
      </c>
      <c r="U280" s="4">
        <f t="shared" si="279"/>
        <v>1.08105293147962</v>
      </c>
      <c r="V280" s="4">
        <f t="shared" si="280"/>
        <v>0.389697337865551</v>
      </c>
      <c r="W280" t="str">
        <f t="shared" si="268"/>
        <v>1-1,17867041335522i</v>
      </c>
      <c r="X280" s="4">
        <f t="shared" si="281"/>
        <v>1.54572440729872</v>
      </c>
      <c r="Y280" s="4">
        <f t="shared" si="282"/>
        <v>-0.867223975025101</v>
      </c>
      <c r="Z280" t="str">
        <f t="shared" si="269"/>
        <v>0,999858138707857+0,0813843856840512i</v>
      </c>
      <c r="AA280" s="4">
        <f t="shared" si="283"/>
        <v>1.00316484974979</v>
      </c>
      <c r="AB280" s="4">
        <f t="shared" si="284"/>
        <v>0.0812168863875292</v>
      </c>
      <c r="AC280" s="67" t="str">
        <f t="shared" si="285"/>
        <v>-0,875648510417138-1,4608118268634i</v>
      </c>
      <c r="AD280" s="68">
        <f t="shared" si="286"/>
        <v>4.62507532217182</v>
      </c>
      <c r="AE280" s="31">
        <f t="shared" si="287"/>
        <v>-120.939565918845</v>
      </c>
      <c r="AF280" s="32" t="str">
        <f t="shared" si="288"/>
        <v>432,040091031901</v>
      </c>
      <c r="AG280" s="32" t="str">
        <f t="shared" si="270"/>
        <v>1+43,4604399327687i</v>
      </c>
      <c r="AH280" s="32">
        <f t="shared" si="289"/>
        <v>43.4719431259956</v>
      </c>
      <c r="AI280" s="32">
        <f t="shared" si="290"/>
        <v>1.54779095502204</v>
      </c>
      <c r="AJ280" s="32" t="str">
        <f t="shared" si="271"/>
        <v>1+0,410701157364665i</v>
      </c>
      <c r="AK280" s="32">
        <f t="shared" si="291"/>
        <v>1.08105293147962</v>
      </c>
      <c r="AL280" s="32">
        <f t="shared" si="292"/>
        <v>0.389697337865551</v>
      </c>
      <c r="AM280" s="32" t="str">
        <f t="shared" si="272"/>
        <v>1-0,12124852885461i</v>
      </c>
      <c r="AN280" s="32">
        <f t="shared" si="293"/>
        <v>1.00732378396889</v>
      </c>
      <c r="AO280" s="32">
        <f t="shared" si="294"/>
        <v>-0.120659548897043</v>
      </c>
      <c r="AP280" s="30" t="str">
        <f t="shared" si="295"/>
        <v>3,1159250153381-10,3643319932058i</v>
      </c>
      <c r="AQ280" s="32">
        <f t="shared" si="296"/>
        <v>20.6866208605958</v>
      </c>
      <c r="AR280" s="31">
        <f t="shared" si="297"/>
        <v>-73.2671594538594</v>
      </c>
      <c r="AS280" t="str">
        <f t="shared" si="273"/>
        <v>-0,000201496259351621</v>
      </c>
      <c r="AT280" t="str">
        <f t="shared" si="274"/>
        <v>0,00588549426402041i</v>
      </c>
      <c r="AU280">
        <f t="shared" si="298"/>
        <v>0.00588549426402041</v>
      </c>
      <c r="AV280">
        <f t="shared" si="299"/>
        <v>1.5707963267949</v>
      </c>
      <c r="AW280" t="str">
        <f t="shared" si="275"/>
        <v>1+0,301326511251867i</v>
      </c>
      <c r="AX280">
        <f t="shared" si="300"/>
        <v>1.04441259394131</v>
      </c>
      <c r="AY280">
        <f t="shared" si="301"/>
        <v>0.292673332525617</v>
      </c>
      <c r="AZ280" t="str">
        <f t="shared" si="276"/>
        <v>1+14,405971718786i</v>
      </c>
      <c r="BA280">
        <f t="shared" si="302"/>
        <v>14.4406378377987</v>
      </c>
      <c r="BB280">
        <f t="shared" si="303"/>
        <v>1.5014918418646</v>
      </c>
      <c r="BC280" s="30" t="str">
        <f t="shared" si="304"/>
        <v>-0,442692346242009+0,167631021421526i</v>
      </c>
      <c r="BD280" s="32">
        <f t="shared" si="305"/>
        <v>-6.49603352823049</v>
      </c>
      <c r="BE280" s="31">
        <f t="shared" si="306"/>
        <v>159.260198782419</v>
      </c>
      <c r="BF280" s="30" t="str">
        <f t="shared" si="307"/>
        <v>0,63252027220164+0,499904360844771i</v>
      </c>
      <c r="BG280" s="68">
        <f t="shared" si="308"/>
        <v>-1.87095820605867</v>
      </c>
      <c r="BH280" s="31">
        <f t="shared" si="309"/>
        <v>38.3206328635741</v>
      </c>
      <c r="BI280" s="30" t="str">
        <f t="shared" si="263"/>
        <v>0,357987402618697+5,1105361402974i</v>
      </c>
      <c r="BJ280" s="68">
        <f t="shared" si="310"/>
        <v>14.1905873323653</v>
      </c>
      <c r="BK280" s="31">
        <f t="shared" si="264"/>
        <v>85.9930393285599</v>
      </c>
      <c r="BL280" s="32">
        <f t="shared" si="311"/>
        <v>-1.87095820605867</v>
      </c>
      <c r="BM280" s="31">
        <f t="shared" si="312"/>
        <v>38.3206328635741</v>
      </c>
      <c r="BO280">
        <f t="shared" si="313"/>
        <v>0</v>
      </c>
      <c r="BP280">
        <f t="shared" si="314"/>
        <v>0</v>
      </c>
    </row>
    <row r="281" spans="14:68">
      <c r="N281" s="7">
        <v>63</v>
      </c>
      <c r="O281" s="18">
        <f t="shared" si="262"/>
        <v>4265.79518801593</v>
      </c>
      <c r="P281" s="86" t="str">
        <f t="shared" si="265"/>
        <v>54,5454545454545</v>
      </c>
      <c r="Q281" s="4" t="str">
        <f t="shared" si="266"/>
        <v>1+54,5802099029683i</v>
      </c>
      <c r="R281" s="4">
        <f t="shared" si="277"/>
        <v>54.5893699638682</v>
      </c>
      <c r="S281" s="4">
        <f t="shared" si="278"/>
        <v>1.55247671736299</v>
      </c>
      <c r="T281" s="4" t="str">
        <f t="shared" si="267"/>
        <v>1+0,420267616252856i</v>
      </c>
      <c r="U281" s="4">
        <f t="shared" si="279"/>
        <v>1.0847234068051</v>
      </c>
      <c r="V281" s="4">
        <f t="shared" si="280"/>
        <v>0.397855457249229</v>
      </c>
      <c r="W281" t="str">
        <f t="shared" si="268"/>
        <v>1-1,20612517419506i</v>
      </c>
      <c r="X281" s="4">
        <f t="shared" si="281"/>
        <v>1.56676033132929</v>
      </c>
      <c r="Y281" s="4">
        <f t="shared" si="282"/>
        <v>-0.878560823345364</v>
      </c>
      <c r="Z281" t="str">
        <f t="shared" si="269"/>
        <v>0,999851452991134+0,0832800715515637i</v>
      </c>
      <c r="AA281" s="4">
        <f t="shared" si="283"/>
        <v>1.00331375868475</v>
      </c>
      <c r="AB281" s="4">
        <f t="shared" si="284"/>
        <v>0.083100624805437</v>
      </c>
      <c r="AC281" s="67" t="str">
        <f t="shared" si="285"/>
        <v>-0,878139834884246-1,44689805105711i</v>
      </c>
      <c r="AD281" s="68">
        <f t="shared" si="286"/>
        <v>4.57070588486605</v>
      </c>
      <c r="AE281" s="31">
        <f t="shared" si="287"/>
        <v>-121.254067440075</v>
      </c>
      <c r="AF281" s="32" t="str">
        <f t="shared" si="288"/>
        <v>432,040091031901</v>
      </c>
      <c r="AG281" s="32" t="str">
        <f t="shared" si="270"/>
        <v>1+44,4727636246408i</v>
      </c>
      <c r="AH281" s="32">
        <f t="shared" si="289"/>
        <v>44.4840050401622</v>
      </c>
      <c r="AI281" s="32">
        <f t="shared" si="290"/>
        <v>1.54831444272781</v>
      </c>
      <c r="AJ281" s="32" t="str">
        <f t="shared" si="271"/>
        <v>1+0,420267616252856i</v>
      </c>
      <c r="AK281" s="32">
        <f t="shared" si="291"/>
        <v>1.0847234068051</v>
      </c>
      <c r="AL281" s="32">
        <f t="shared" si="292"/>
        <v>0.397855457249229</v>
      </c>
      <c r="AM281" s="32" t="str">
        <f t="shared" si="272"/>
        <v>1-0,124072769901273i</v>
      </c>
      <c r="AN281" s="32">
        <f t="shared" si="293"/>
        <v>1.00766762984179</v>
      </c>
      <c r="AO281" s="32">
        <f t="shared" si="294"/>
        <v>-0.123441925580184</v>
      </c>
      <c r="AP281" s="30" t="str">
        <f t="shared" si="295"/>
        <v>3,10570958155443-10,1514397263342i</v>
      </c>
      <c r="AQ281" s="32">
        <f t="shared" si="296"/>
        <v>20.5191297385438</v>
      </c>
      <c r="AR281" s="31">
        <f t="shared" si="297"/>
        <v>-72.9891457215375</v>
      </c>
      <c r="AS281" t="str">
        <f t="shared" si="273"/>
        <v>-0,000201496259351621</v>
      </c>
      <c r="AT281" t="str">
        <f t="shared" si="274"/>
        <v>0,00602258503648066i</v>
      </c>
      <c r="AU281">
        <f t="shared" si="298"/>
        <v>0.00602258503648066</v>
      </c>
      <c r="AV281">
        <f t="shared" si="299"/>
        <v>1.5707963267949</v>
      </c>
      <c r="AW281" t="str">
        <f t="shared" si="275"/>
        <v>1+0,308345307352443i</v>
      </c>
      <c r="AX281">
        <f t="shared" si="300"/>
        <v>1.04645918628787</v>
      </c>
      <c r="AY281">
        <f t="shared" si="301"/>
        <v>0.299095346059901</v>
      </c>
      <c r="AZ281" t="str">
        <f t="shared" si="276"/>
        <v>1+14,7415299068285i</v>
      </c>
      <c r="BA281">
        <f t="shared" si="302"/>
        <v>14.7754087589454</v>
      </c>
      <c r="BB281">
        <f t="shared" si="303"/>
        <v>1.50306452829273</v>
      </c>
      <c r="BC281" s="30" t="str">
        <f t="shared" si="304"/>
        <v>-0,4409624654726+0,169425479766534i</v>
      </c>
      <c r="BD281" s="32">
        <f t="shared" si="305"/>
        <v>-6.51397485997145</v>
      </c>
      <c r="BE281" s="31">
        <f t="shared" si="306"/>
        <v>158.982352805758</v>
      </c>
      <c r="BF281" s="30" t="str">
        <f t="shared" si="307"/>
        <v>0,632368103093873+0,489248469054275i</v>
      </c>
      <c r="BG281" s="68">
        <f t="shared" si="308"/>
        <v>-1.94326897510539</v>
      </c>
      <c r="BH281" s="31">
        <f t="shared" si="309"/>
        <v>37.7282853656829</v>
      </c>
      <c r="BI281" s="30" t="str">
        <f t="shared" si="263"/>
        <v>0,350411191831106+5,00259022569121i</v>
      </c>
      <c r="BJ281" s="68">
        <f t="shared" si="310"/>
        <v>14.0051548785723</v>
      </c>
      <c r="BK281" s="31">
        <f t="shared" si="264"/>
        <v>85.9932070842208</v>
      </c>
      <c r="BL281" s="32">
        <f t="shared" si="311"/>
        <v>-1.94326897510539</v>
      </c>
      <c r="BM281" s="31">
        <f t="shared" si="312"/>
        <v>37.7282853656829</v>
      </c>
      <c r="BO281">
        <f t="shared" si="313"/>
        <v>0</v>
      </c>
      <c r="BP281">
        <f t="shared" si="314"/>
        <v>0</v>
      </c>
    </row>
    <row r="282" spans="14:68">
      <c r="N282" s="7">
        <v>64</v>
      </c>
      <c r="O282" s="18">
        <f t="shared" si="262"/>
        <v>4365.15832240166</v>
      </c>
      <c r="P282" s="86" t="str">
        <f t="shared" si="265"/>
        <v>54,5454545454545</v>
      </c>
      <c r="Q282" s="4" t="str">
        <f t="shared" si="266"/>
        <v>1+55,85154631092i</v>
      </c>
      <c r="R282" s="4">
        <f t="shared" si="277"/>
        <v>55.8604978971799</v>
      </c>
      <c r="S282" s="4">
        <f t="shared" si="278"/>
        <v>1.55289363245117</v>
      </c>
      <c r="T282" s="4" t="str">
        <f t="shared" si="267"/>
        <v>1+0,430056906594084i</v>
      </c>
      <c r="U282" s="4">
        <f t="shared" si="279"/>
        <v>1.08855360130279</v>
      </c>
      <c r="V282" s="4">
        <f t="shared" si="280"/>
        <v>0.406146083820919</v>
      </c>
      <c r="W282" t="str">
        <f t="shared" si="268"/>
        <v>1-1,23421943856721i</v>
      </c>
      <c r="X282" s="4">
        <f t="shared" si="281"/>
        <v>1.58848910054088</v>
      </c>
      <c r="Y282" s="4">
        <f t="shared" si="282"/>
        <v>-0.889849423290089</v>
      </c>
      <c r="Z282" t="str">
        <f t="shared" si="269"/>
        <v>0,999844452186289+0,0852199136153547i</v>
      </c>
      <c r="AA282" s="4">
        <f t="shared" si="283"/>
        <v>1.00346966184549</v>
      </c>
      <c r="AB282" s="4">
        <f t="shared" si="284"/>
        <v>0.0850276688333577</v>
      </c>
      <c r="AC282" s="67" t="str">
        <f t="shared" si="285"/>
        <v>-0,880666864918326-1,43373766774868i</v>
      </c>
      <c r="AD282" s="68">
        <f t="shared" si="286"/>
        <v>4.51967148351361</v>
      </c>
      <c r="AE282" s="31">
        <f t="shared" si="287"/>
        <v>-121.560137626146</v>
      </c>
      <c r="AF282" s="32" t="str">
        <f t="shared" si="288"/>
        <v>432,040091031901</v>
      </c>
      <c r="AG282" s="32" t="str">
        <f t="shared" si="270"/>
        <v>1+45,5086673644533i</v>
      </c>
      <c r="AH282" s="32">
        <f t="shared" si="289"/>
        <v>45.5196529565907</v>
      </c>
      <c r="AI282" s="32">
        <f t="shared" si="290"/>
        <v>1.54882602630729</v>
      </c>
      <c r="AJ282" s="32" t="str">
        <f t="shared" si="271"/>
        <v>1+0,430056906594084i</v>
      </c>
      <c r="AK282" s="32">
        <f t="shared" si="291"/>
        <v>1.08855360130279</v>
      </c>
      <c r="AL282" s="32">
        <f t="shared" si="292"/>
        <v>0.406146083820919</v>
      </c>
      <c r="AM282" s="32" t="str">
        <f t="shared" si="272"/>
        <v>1-0,126962795972835i</v>
      </c>
      <c r="AN282" s="32">
        <f t="shared" si="293"/>
        <v>1.00802755496129</v>
      </c>
      <c r="AO282" s="32">
        <f t="shared" si="294"/>
        <v>-0.126287124499518</v>
      </c>
      <c r="AP282" s="30" t="str">
        <f t="shared" si="295"/>
        <v>3,09595346378518-9,94390921518864i</v>
      </c>
      <c r="AQ282" s="32">
        <f t="shared" si="296"/>
        <v>20.3529465892022</v>
      </c>
      <c r="AR282" s="31">
        <f t="shared" si="297"/>
        <v>-72.7064572793861</v>
      </c>
      <c r="AS282" t="str">
        <f t="shared" si="273"/>
        <v>-0,000201496259351621</v>
      </c>
      <c r="AT282" t="str">
        <f t="shared" si="274"/>
        <v>0,00616286906324558i</v>
      </c>
      <c r="AU282">
        <f t="shared" si="298"/>
        <v>0.00616286906324558</v>
      </c>
      <c r="AV282">
        <f t="shared" si="299"/>
        <v>1.5707963267949</v>
      </c>
      <c r="AW282" t="str">
        <f t="shared" si="275"/>
        <v>1+0,31552759221641i</v>
      </c>
      <c r="AX282">
        <f t="shared" si="300"/>
        <v>1.04859795033649</v>
      </c>
      <c r="AY282">
        <f t="shared" si="301"/>
        <v>0.305640719470362</v>
      </c>
      <c r="AZ282" t="str">
        <f t="shared" si="276"/>
        <v>1+15,0849042491547i</v>
      </c>
      <c r="BA282">
        <f t="shared" si="302"/>
        <v>15.1180136329534</v>
      </c>
      <c r="BB282">
        <f t="shared" si="303"/>
        <v>1.50460174032304</v>
      </c>
      <c r="BC282" s="30" t="str">
        <f t="shared" si="304"/>
        <v>-0,439165489120196+0,17126403305891i</v>
      </c>
      <c r="BD282" s="32">
        <f t="shared" si="305"/>
        <v>-6.53260448919793</v>
      </c>
      <c r="BE282" s="31">
        <f t="shared" si="306"/>
        <v>158.695406295555</v>
      </c>
      <c r="BF282" s="30" t="str">
        <f t="shared" si="307"/>
        <v>0,632306189810921+0,478821545059639i</v>
      </c>
      <c r="BG282" s="68">
        <f t="shared" si="308"/>
        <v>-2.01293300568431</v>
      </c>
      <c r="BH282" s="31">
        <f t="shared" si="309"/>
        <v>37.1352686694092</v>
      </c>
      <c r="BI282" s="30" t="str">
        <f t="shared" si="263"/>
        <v>0,343398079348283+4,89724723062569i</v>
      </c>
      <c r="BJ282" s="68">
        <f t="shared" si="310"/>
        <v>13.8203421000042</v>
      </c>
      <c r="BK282" s="31">
        <f t="shared" si="264"/>
        <v>85.9889490161693</v>
      </c>
      <c r="BL282" s="32">
        <f t="shared" si="311"/>
        <v>-2.01293300568431</v>
      </c>
      <c r="BM282" s="31">
        <f t="shared" si="312"/>
        <v>37.1352686694092</v>
      </c>
      <c r="BO282">
        <f t="shared" si="313"/>
        <v>0</v>
      </c>
      <c r="BP282">
        <f t="shared" si="314"/>
        <v>0</v>
      </c>
    </row>
    <row r="283" spans="14:68">
      <c r="N283" s="7">
        <v>65</v>
      </c>
      <c r="O283" s="18">
        <f t="shared" si="262"/>
        <v>4466.83592150963</v>
      </c>
      <c r="P283" s="86" t="str">
        <f t="shared" si="265"/>
        <v>54,5454545454545</v>
      </c>
      <c r="Q283" s="4" t="str">
        <f t="shared" si="266"/>
        <v>1+57,1524959480084i</v>
      </c>
      <c r="R283" s="4">
        <f t="shared" si="277"/>
        <v>57.1612438028348</v>
      </c>
      <c r="S283" s="4">
        <f t="shared" si="278"/>
        <v>1.55330106340785</v>
      </c>
      <c r="T283" s="4" t="str">
        <f t="shared" si="267"/>
        <v>1+0,440074218799665i</v>
      </c>
      <c r="U283" s="4">
        <f t="shared" si="279"/>
        <v>1.09254991558836</v>
      </c>
      <c r="V283" s="4">
        <f t="shared" si="280"/>
        <v>0.414569053513269</v>
      </c>
      <c r="W283" t="str">
        <f t="shared" si="268"/>
        <v>1-1,26296810242251i</v>
      </c>
      <c r="X283" s="4">
        <f t="shared" si="281"/>
        <v>1.61092781580576</v>
      </c>
      <c r="Y283" s="4">
        <f t="shared" si="282"/>
        <v>-0.901084252671861</v>
      </c>
      <c r="Z283" t="str">
        <f t="shared" si="269"/>
        <v>0,999837121443676+0,0872049404053637i</v>
      </c>
      <c r="AA283" s="4">
        <f t="shared" si="283"/>
        <v>1.00363288659145</v>
      </c>
      <c r="AB283" s="4">
        <f t="shared" si="284"/>
        <v>0.0869989866394709</v>
      </c>
      <c r="AC283" s="67" t="str">
        <f t="shared" si="285"/>
        <v>-0,883234812861189-1,42132292614295i</v>
      </c>
      <c r="AD283" s="68">
        <f t="shared" si="286"/>
        <v>4.47198759279681</v>
      </c>
      <c r="AE283" s="31">
        <f t="shared" si="287"/>
        <v>-121.857537583563</v>
      </c>
      <c r="AF283" s="32" t="str">
        <f t="shared" si="288"/>
        <v>432,040091031901</v>
      </c>
      <c r="AG283" s="32" t="str">
        <f t="shared" si="270"/>
        <v>1+46,5687004020809i</v>
      </c>
      <c r="AH283" s="32">
        <f t="shared" si="289"/>
        <v>46.5794359899169</v>
      </c>
      <c r="AI283" s="32">
        <f t="shared" si="290"/>
        <v>1.54932597593714</v>
      </c>
      <c r="AJ283" s="32" t="str">
        <f t="shared" si="271"/>
        <v>1+0,440074218799665i</v>
      </c>
      <c r="AK283" s="32">
        <f t="shared" si="291"/>
        <v>1.09254991558836</v>
      </c>
      <c r="AL283" s="32">
        <f t="shared" si="292"/>
        <v>0.414569053513269</v>
      </c>
      <c r="AM283" s="32" t="str">
        <f t="shared" si="272"/>
        <v>1-0,129920139399373i</v>
      </c>
      <c r="AN283" s="32">
        <f t="shared" si="293"/>
        <v>1.00840430513835</v>
      </c>
      <c r="AO283" s="32">
        <f t="shared" si="294"/>
        <v>-0.129196469860125</v>
      </c>
      <c r="AP283" s="30" t="str">
        <f t="shared" si="295"/>
        <v>3,08663602934449-9,74163180279416i</v>
      </c>
      <c r="AQ283" s="32">
        <f t="shared" si="296"/>
        <v>20.1881160459838</v>
      </c>
      <c r="AR283" s="31">
        <f t="shared" si="297"/>
        <v>-72.4191948791165</v>
      </c>
      <c r="AS283" t="str">
        <f t="shared" si="273"/>
        <v>-0,000201496259351621</v>
      </c>
      <c r="AT283" t="str">
        <f t="shared" si="274"/>
        <v>0,00630642072476306i</v>
      </c>
      <c r="AU283">
        <f t="shared" si="298"/>
        <v>0.00630642072476306</v>
      </c>
      <c r="AV283">
        <f t="shared" si="299"/>
        <v>1.5707963267949</v>
      </c>
      <c r="AW283" t="str">
        <f t="shared" si="275"/>
        <v>1+0,322877173986272i</v>
      </c>
      <c r="AX283">
        <f t="shared" si="300"/>
        <v>1.05083284564262</v>
      </c>
      <c r="AY283">
        <f t="shared" si="301"/>
        <v>0.312310679062151</v>
      </c>
      <c r="AZ283" t="str">
        <f t="shared" si="276"/>
        <v>1+15,4362768073862i</v>
      </c>
      <c r="BA283">
        <f t="shared" si="302"/>
        <v>15.4686341243902</v>
      </c>
      <c r="BB283">
        <f t="shared" si="303"/>
        <v>1.50610426392965</v>
      </c>
      <c r="BC283" s="30" t="str">
        <f t="shared" si="304"/>
        <v>-0,437299454600061+0,173144982081827i</v>
      </c>
      <c r="BD283" s="32">
        <f t="shared" si="305"/>
        <v>-6.55195248537469</v>
      </c>
      <c r="BE283" s="31">
        <f t="shared" si="306"/>
        <v>158.3993340227</v>
      </c>
      <c r="BF283" s="30" t="str">
        <f t="shared" si="307"/>
        <v>0,632333034527496+0,468616064565978i</v>
      </c>
      <c r="BG283" s="68">
        <f t="shared" si="308"/>
        <v>-2.07996489257788</v>
      </c>
      <c r="BH283" s="31">
        <f t="shared" si="309"/>
        <v>36.541796439137</v>
      </c>
      <c r="BI283" s="30" t="str">
        <f t="shared" si="263"/>
        <v>0,336930411761307+4,79444581427047i</v>
      </c>
      <c r="BJ283" s="68">
        <f t="shared" si="310"/>
        <v>13.6361635606091</v>
      </c>
      <c r="BK283" s="31">
        <f t="shared" si="264"/>
        <v>85.9801391435837</v>
      </c>
      <c r="BL283" s="32">
        <f t="shared" si="311"/>
        <v>-2.07996489257788</v>
      </c>
      <c r="BM283" s="31">
        <f t="shared" si="312"/>
        <v>36.541796439137</v>
      </c>
      <c r="BO283">
        <f t="shared" si="313"/>
        <v>0</v>
      </c>
      <c r="BP283">
        <f t="shared" si="314"/>
        <v>0</v>
      </c>
    </row>
    <row r="284" spans="14:68">
      <c r="N284" s="7">
        <v>66</v>
      </c>
      <c r="O284" s="18">
        <f t="shared" ref="O284:O318" si="315">10^(3+(N284/100))</f>
        <v>4570.88189614875</v>
      </c>
      <c r="P284" s="86" t="str">
        <f t="shared" si="265"/>
        <v>54,5454545454545</v>
      </c>
      <c r="Q284" s="4" t="str">
        <f t="shared" si="266"/>
        <v>1+58,4837485949512i</v>
      </c>
      <c r="R284" s="4">
        <f t="shared" si="277"/>
        <v>58.4922973537325</v>
      </c>
      <c r="S284" s="4">
        <f t="shared" si="278"/>
        <v>1.55369922571693</v>
      </c>
      <c r="T284" s="4" t="str">
        <f t="shared" si="267"/>
        <v>1+0,450324864181125i</v>
      </c>
      <c r="U284" s="4">
        <f t="shared" si="279"/>
        <v>1.0967189627702</v>
      </c>
      <c r="V284" s="4">
        <f t="shared" si="280"/>
        <v>0.423124050610303</v>
      </c>
      <c r="W284" t="str">
        <f t="shared" si="268"/>
        <v>1-1,29238640868308i</v>
      </c>
      <c r="X284" s="4">
        <f t="shared" si="281"/>
        <v>1.63409382513635</v>
      </c>
      <c r="Y284" s="4">
        <f t="shared" si="282"/>
        <v>-0.912259924383196</v>
      </c>
      <c r="Z284" t="str">
        <f t="shared" si="269"/>
        <v>0,999829445213808+0,0892362044090695i</v>
      </c>
      <c r="AA284" s="4">
        <f t="shared" si="283"/>
        <v>1.00380377549294</v>
      </c>
      <c r="AB284" s="4">
        <f t="shared" si="284"/>
        <v>0.0890155660895345</v>
      </c>
      <c r="AC284" s="67" t="str">
        <f t="shared" si="285"/>
        <v>-0,885848964430429-1,40964640367919i</v>
      </c>
      <c r="AD284" s="68">
        <f t="shared" si="286"/>
        <v>4.42766805741318</v>
      </c>
      <c r="AE284" s="31">
        <f t="shared" si="287"/>
        <v>-122.146045689853</v>
      </c>
      <c r="AF284" s="32" t="str">
        <f t="shared" si="288"/>
        <v>432,040091031901</v>
      </c>
      <c r="AG284" s="32" t="str">
        <f t="shared" si="270"/>
        <v>1+47,6534247810714i</v>
      </c>
      <c r="AH284" s="32">
        <f t="shared" si="289"/>
        <v>47.6639160515083</v>
      </c>
      <c r="AI284" s="32">
        <f t="shared" si="290"/>
        <v>1.54981455569701</v>
      </c>
      <c r="AJ284" s="32" t="str">
        <f t="shared" si="271"/>
        <v>1+0,450324864181125i</v>
      </c>
      <c r="AK284" s="32">
        <f t="shared" si="291"/>
        <v>1.0967189627702</v>
      </c>
      <c r="AL284" s="32">
        <f t="shared" si="292"/>
        <v>0.423124050610303</v>
      </c>
      <c r="AM284" s="32" t="str">
        <f t="shared" si="272"/>
        <v>1-0,132946368203517i</v>
      </c>
      <c r="AN284" s="32">
        <f t="shared" si="293"/>
        <v>1.00879866019861</v>
      </c>
      <c r="AO284" s="32">
        <f t="shared" si="294"/>
        <v>-0.13217130712624</v>
      </c>
      <c r="AP284" s="30" t="str">
        <f t="shared" si="295"/>
        <v>3,0777375706597-9,54450152557565i</v>
      </c>
      <c r="AQ284" s="32">
        <f t="shared" si="296"/>
        <v>20.0246835480362</v>
      </c>
      <c r="AR284" s="31">
        <f t="shared" si="297"/>
        <v>-72.1274688299922</v>
      </c>
      <c r="AS284" t="str">
        <f t="shared" si="273"/>
        <v>-0,000201496259351621</v>
      </c>
      <c r="AT284" t="str">
        <f t="shared" si="274"/>
        <v>0,00645331613402415i</v>
      </c>
      <c r="AU284">
        <f t="shared" si="298"/>
        <v>0.00645331613402415</v>
      </c>
      <c r="AV284">
        <f t="shared" si="299"/>
        <v>1.5707963267949</v>
      </c>
      <c r="AW284" t="str">
        <f t="shared" si="275"/>
        <v>1+0,330397949507566i</v>
      </c>
      <c r="AX284">
        <f t="shared" si="300"/>
        <v>1.05316798519458</v>
      </c>
      <c r="AY284">
        <f t="shared" si="301"/>
        <v>0.319106386616183</v>
      </c>
      <c r="AZ284" t="str">
        <f t="shared" si="276"/>
        <v>1+15,7958338839042i</v>
      </c>
      <c r="BA284">
        <f t="shared" si="302"/>
        <v>15.8274561470849</v>
      </c>
      <c r="BB284">
        <f t="shared" si="303"/>
        <v>1.50757286861865</v>
      </c>
      <c r="BC284" s="30" t="str">
        <f t="shared" si="304"/>
        <v>-0,435362397668576+0,175066520606976i</v>
      </c>
      <c r="BD284" s="32">
        <f t="shared" si="305"/>
        <v>-6.57204964845902</v>
      </c>
      <c r="BE284" s="31">
        <f t="shared" si="306"/>
        <v>158.094113511502</v>
      </c>
      <c r="BF284" s="30" t="str">
        <f t="shared" si="307"/>
        <v>0,632447220304909+0,458624542184529i</v>
      </c>
      <c r="BG284" s="68">
        <f t="shared" si="308"/>
        <v>-2.14438159104585</v>
      </c>
      <c r="BH284" s="31">
        <f t="shared" si="309"/>
        <v>35.9480678216492</v>
      </c>
      <c r="BI284" s="30" t="str">
        <f t="shared" si="263"/>
        <v>0,330991464853438+4,69412587656276i</v>
      </c>
      <c r="BJ284" s="68">
        <f t="shared" si="310"/>
        <v>13.4526338995772</v>
      </c>
      <c r="BK284" s="31">
        <f t="shared" si="264"/>
        <v>85.9666446815101</v>
      </c>
      <c r="BL284" s="32">
        <f t="shared" si="311"/>
        <v>-2.14438159104585</v>
      </c>
      <c r="BM284" s="31">
        <f t="shared" si="312"/>
        <v>35.9480678216492</v>
      </c>
      <c r="BO284">
        <f t="shared" si="313"/>
        <v>0</v>
      </c>
      <c r="BP284">
        <f t="shared" si="314"/>
        <v>0</v>
      </c>
    </row>
    <row r="285" spans="14:68">
      <c r="N285" s="7">
        <v>67</v>
      </c>
      <c r="O285" s="18">
        <f t="shared" si="315"/>
        <v>4677.35141287198</v>
      </c>
      <c r="P285" s="86" t="str">
        <f t="shared" si="265"/>
        <v>54,5454545454545</v>
      </c>
      <c r="Q285" s="4" t="str">
        <f t="shared" si="266"/>
        <v>1+59,8460100995229i</v>
      </c>
      <c r="R285" s="4">
        <f t="shared" si="277"/>
        <v>59.8543642922736</v>
      </c>
      <c r="S285" s="4">
        <f t="shared" si="278"/>
        <v>1.55408832998409</v>
      </c>
      <c r="T285" s="4" t="str">
        <f t="shared" si="267"/>
        <v>1+0,460814277766327i</v>
      </c>
      <c r="U285" s="4">
        <f t="shared" si="279"/>
        <v>1.10106757221948</v>
      </c>
      <c r="V285" s="4">
        <f t="shared" si="280"/>
        <v>0.431810601057653</v>
      </c>
      <c r="W285" t="str">
        <f t="shared" si="268"/>
        <v>1-1,32248995532428i</v>
      </c>
      <c r="X285" s="4">
        <f t="shared" si="281"/>
        <v>1.65800472916503</v>
      </c>
      <c r="Y285" s="4">
        <f t="shared" si="282"/>
        <v>-0.923371198131477</v>
      </c>
      <c r="Z285" t="str">
        <f t="shared" si="269"/>
        <v>0,999821407214372+0,0913147826295337i</v>
      </c>
      <c r="AA285" s="4">
        <f t="shared" si="283"/>
        <v>1.00398268702742</v>
      </c>
      <c r="AB285" s="4">
        <f t="shared" si="284"/>
        <v>0.091078415007141</v>
      </c>
      <c r="AC285" s="67" t="str">
        <f t="shared" si="285"/>
        <v>-0,888514688609523-1,39870099836122i</v>
      </c>
      <c r="AD285" s="68">
        <f t="shared" si="286"/>
        <v>4.38672512362497</v>
      </c>
      <c r="AE285" s="31">
        <f t="shared" si="287"/>
        <v>-122.425458670534</v>
      </c>
      <c r="AF285" s="32" t="str">
        <f t="shared" si="288"/>
        <v>432,040091031901</v>
      </c>
      <c r="AG285" s="32" t="str">
        <f t="shared" si="270"/>
        <v>1+48,7634156366483i</v>
      </c>
      <c r="AH285" s="32">
        <f t="shared" si="289"/>
        <v>48.7736681473981</v>
      </c>
      <c r="AI285" s="32">
        <f t="shared" si="290"/>
        <v>1.55029202370477</v>
      </c>
      <c r="AJ285" s="32" t="str">
        <f t="shared" si="271"/>
        <v>1+0,460814277766327i</v>
      </c>
      <c r="AK285" s="32">
        <f t="shared" si="291"/>
        <v>1.10106757221948</v>
      </c>
      <c r="AL285" s="32">
        <f t="shared" si="292"/>
        <v>0.431810601057653</v>
      </c>
      <c r="AM285" s="32" t="str">
        <f t="shared" si="272"/>
        <v>1-0,136043086931836i</v>
      </c>
      <c r="AN285" s="32">
        <f t="shared" si="293"/>
        <v>1.00921143547918</v>
      </c>
      <c r="AO285" s="32">
        <f t="shared" si="294"/>
        <v>-0.135213002873979</v>
      </c>
      <c r="AP285" s="30" t="str">
        <f t="shared" si="295"/>
        <v>3,06923926394279-9,35241506329085i</v>
      </c>
      <c r="AQ285" s="32">
        <f t="shared" si="296"/>
        <v>19.8626953021674</v>
      </c>
      <c r="AR285" s="31">
        <f t="shared" si="297"/>
        <v>-71.8313993814374</v>
      </c>
      <c r="AS285" t="str">
        <f t="shared" si="273"/>
        <v>-0,000201496259351621</v>
      </c>
      <c r="AT285" t="str">
        <f t="shared" si="274"/>
        <v>0,00660363317691924i</v>
      </c>
      <c r="AU285">
        <f t="shared" si="298"/>
        <v>0.00660363317691924</v>
      </c>
      <c r="AV285">
        <f t="shared" si="299"/>
        <v>1.5707963267949</v>
      </c>
      <c r="AW285" t="str">
        <f t="shared" si="275"/>
        <v>1+0,338093906395022i</v>
      </c>
      <c r="AX285">
        <f t="shared" si="300"/>
        <v>1.05560763995977</v>
      </c>
      <c r="AY285">
        <f t="shared" si="301"/>
        <v>0.326028933748867</v>
      </c>
      <c r="AZ285" t="str">
        <f t="shared" si="276"/>
        <v>1+16,1637661206301i</v>
      </c>
      <c r="BA285">
        <f t="shared" si="302"/>
        <v>16.194669962751</v>
      </c>
      <c r="BB285">
        <f t="shared" si="303"/>
        <v>1.50900830770954</v>
      </c>
      <c r="BC285" s="30" t="str">
        <f t="shared" si="304"/>
        <v>-0,433352358068788+0,177026731046219i</v>
      </c>
      <c r="BD285" s="32">
        <f t="shared" si="305"/>
        <v>-6.59292751203938</v>
      </c>
      <c r="BE285" s="31">
        <f t="shared" si="306"/>
        <v>157.779725378975</v>
      </c>
      <c r="BF285" s="30" t="str">
        <f t="shared" si="307"/>
        <v>0,632647400938661+0,44883952506191i</v>
      </c>
      <c r="BG285" s="68">
        <f t="shared" si="308"/>
        <v>-2.20620238841441</v>
      </c>
      <c r="BH285" s="31">
        <f t="shared" si="309"/>
        <v>35.354266708441</v>
      </c>
      <c r="BI285" s="30" t="str">
        <f t="shared" si="263"/>
        <v>0,325565393534877+4,59622851500964i</v>
      </c>
      <c r="BJ285" s="68">
        <f t="shared" si="310"/>
        <v>13.269767790128</v>
      </c>
      <c r="BK285" s="31">
        <f t="shared" si="264"/>
        <v>85.9483259975372</v>
      </c>
      <c r="BL285" s="32">
        <f t="shared" si="311"/>
        <v>-2.20620238841441</v>
      </c>
      <c r="BM285" s="31">
        <f t="shared" si="312"/>
        <v>35.354266708441</v>
      </c>
      <c r="BO285">
        <f t="shared" si="313"/>
        <v>0</v>
      </c>
      <c r="BP285">
        <f t="shared" si="314"/>
        <v>0</v>
      </c>
    </row>
    <row r="286" spans="14:68">
      <c r="N286" s="7">
        <v>68</v>
      </c>
      <c r="O286" s="18">
        <f t="shared" si="315"/>
        <v>4786.30092322638</v>
      </c>
      <c r="P286" s="86" t="str">
        <f t="shared" si="265"/>
        <v>54,5454545454545</v>
      </c>
      <c r="Q286" s="4" t="str">
        <f t="shared" si="266"/>
        <v>1+61,2400027508051i</v>
      </c>
      <c r="R286" s="4">
        <f t="shared" si="277"/>
        <v>61.2481668045552</v>
      </c>
      <c r="S286" s="4">
        <f t="shared" si="278"/>
        <v>1.55446858204599</v>
      </c>
      <c r="T286" s="4" t="str">
        <f t="shared" si="267"/>
        <v>1+0,4715480211812i</v>
      </c>
      <c r="U286" s="4">
        <f t="shared" si="279"/>
        <v>1.1056027931766</v>
      </c>
      <c r="V286" s="4">
        <f t="shared" si="280"/>
        <v>0.440628065916359</v>
      </c>
      <c r="W286" t="str">
        <f t="shared" si="268"/>
        <v>1-1,35329470364503i</v>
      </c>
      <c r="X286" s="4">
        <f t="shared" si="281"/>
        <v>1.68267838724864</v>
      </c>
      <c r="Y286" s="4">
        <f t="shared" si="282"/>
        <v>-0.934412991313531</v>
      </c>
      <c r="Z286" t="str">
        <f t="shared" si="269"/>
        <v>0,999812990395692+0,0934417771564422i</v>
      </c>
      <c r="AA286" s="4">
        <f t="shared" si="283"/>
        <v>1.00416999630647</v>
      </c>
      <c r="AB286" s="4">
        <f t="shared" si="284"/>
        <v>0.0931885614264997</v>
      </c>
      <c r="AC286" s="67" t="str">
        <f t="shared" si="285"/>
        <v>-0,891237447596352-1,38847992095252i</v>
      </c>
      <c r="AD286" s="68">
        <f t="shared" si="286"/>
        <v>4.34916947185914</v>
      </c>
      <c r="AE286" s="31">
        <f t="shared" si="287"/>
        <v>-122.695592617995</v>
      </c>
      <c r="AF286" s="32" t="str">
        <f t="shared" si="288"/>
        <v>432,040091031901</v>
      </c>
      <c r="AG286" s="32" t="str">
        <f t="shared" si="270"/>
        <v>1+49,899261500656i</v>
      </c>
      <c r="AH286" s="32">
        <f t="shared" si="289"/>
        <v>49.909280683164</v>
      </c>
      <c r="AI286" s="32">
        <f t="shared" si="290"/>
        <v>1.55075863224899</v>
      </c>
      <c r="AJ286" s="32" t="str">
        <f t="shared" si="271"/>
        <v>1+0,4715480211812i</v>
      </c>
      <c r="AK286" s="32">
        <f t="shared" si="291"/>
        <v>1.1056027931766</v>
      </c>
      <c r="AL286" s="32">
        <f t="shared" si="292"/>
        <v>0.440628065916359</v>
      </c>
      <c r="AM286" s="32" t="str">
        <f t="shared" si="272"/>
        <v>1-0,139211937505589i</v>
      </c>
      <c r="AN286" s="32">
        <f t="shared" si="293"/>
        <v>1.00964348338612</v>
      </c>
      <c r="AO286" s="32">
        <f t="shared" si="294"/>
        <v>-0.138322944599737</v>
      </c>
      <c r="AP286" s="30" t="str">
        <f t="shared" si="295"/>
        <v>3,06112312969493-9,16527168995761i</v>
      </c>
      <c r="AQ286" s="32">
        <f t="shared" si="296"/>
        <v>19.7021982402797</v>
      </c>
      <c r="AR286" s="31">
        <f t="shared" si="297"/>
        <v>-71.5311170947144</v>
      </c>
      <c r="AS286" t="str">
        <f t="shared" si="273"/>
        <v>-0,000201496259351621</v>
      </c>
      <c r="AT286" t="str">
        <f t="shared" si="274"/>
        <v>0,00675745155353415i</v>
      </c>
      <c r="AU286">
        <f t="shared" si="298"/>
        <v>0.00675745155353415</v>
      </c>
      <c r="AV286">
        <f t="shared" si="299"/>
        <v>1.5707963267949</v>
      </c>
      <c r="AW286" t="str">
        <f t="shared" si="275"/>
        <v>1+0,345969125146852i</v>
      </c>
      <c r="AX286">
        <f t="shared" si="300"/>
        <v>1.05815624345126</v>
      </c>
      <c r="AY286">
        <f t="shared" si="301"/>
        <v>0.333079336078434</v>
      </c>
      <c r="AZ286" t="str">
        <f t="shared" si="276"/>
        <v>1+16,5402686001058i</v>
      </c>
      <c r="BA286">
        <f t="shared" si="302"/>
        <v>16.5704702819095</v>
      </c>
      <c r="BB286">
        <f t="shared" si="303"/>
        <v>1.51041131861614</v>
      </c>
      <c r="BC286" s="30" t="str">
        <f t="shared" si="304"/>
        <v>-0,431267385653943+0,179023580281367i</v>
      </c>
      <c r="BD286" s="32">
        <f t="shared" si="305"/>
        <v>-6.61461834388613</v>
      </c>
      <c r="BE286" s="31">
        <f t="shared" si="306"/>
        <v>157.456153685181</v>
      </c>
      <c r="BF286" s="30" t="str">
        <f t="shared" si="307"/>
        <v>0,632932290619481+0,439253586792661i</v>
      </c>
      <c r="BG286" s="68">
        <f t="shared" si="308"/>
        <v>-2.26544887202699</v>
      </c>
      <c r="BH286" s="31">
        <f t="shared" si="309"/>
        <v>34.760561067186</v>
      </c>
      <c r="BI286" s="30" t="str">
        <f t="shared" si="263"/>
        <v>0,320637182879318+4,5006959828962i</v>
      </c>
      <c r="BJ286" s="68">
        <f t="shared" si="310"/>
        <v>13.0875798963935</v>
      </c>
      <c r="BK286" s="31">
        <f t="shared" si="264"/>
        <v>85.9250365904663</v>
      </c>
      <c r="BL286" s="32">
        <f t="shared" si="311"/>
        <v>-2.26544887202699</v>
      </c>
      <c r="BM286" s="31">
        <f t="shared" si="312"/>
        <v>34.760561067186</v>
      </c>
      <c r="BO286">
        <f t="shared" si="313"/>
        <v>0</v>
      </c>
      <c r="BP286">
        <f t="shared" si="314"/>
        <v>0</v>
      </c>
    </row>
    <row r="287" spans="14:68">
      <c r="N287" s="7">
        <v>69</v>
      </c>
      <c r="O287" s="18">
        <f t="shared" si="315"/>
        <v>4897.78819368446</v>
      </c>
      <c r="P287" s="86" t="str">
        <f t="shared" si="265"/>
        <v>54,5454545454545</v>
      </c>
      <c r="Q287" s="4" t="str">
        <f t="shared" si="266"/>
        <v>1+62,6664656621529i</v>
      </c>
      <c r="R287" s="4">
        <f t="shared" si="277"/>
        <v>62.6744439032832</v>
      </c>
      <c r="S287" s="4">
        <f t="shared" si="278"/>
        <v>1.5548401830772</v>
      </c>
      <c r="T287" s="4" t="str">
        <f t="shared" si="267"/>
        <v>1+0,482531785598578i</v>
      </c>
      <c r="U287" s="4">
        <f t="shared" si="279"/>
        <v>1.11033189817863</v>
      </c>
      <c r="V287" s="4">
        <f t="shared" si="280"/>
        <v>0.449575635005314</v>
      </c>
      <c r="W287" t="str">
        <f t="shared" si="268"/>
        <v>1-1,38481698673061i</v>
      </c>
      <c r="X287" s="4">
        <f t="shared" si="281"/>
        <v>1.70813292420047</v>
      </c>
      <c r="Y287" s="4">
        <f t="shared" si="282"/>
        <v>-0.945380388984712</v>
      </c>
      <c r="Z287" t="str">
        <f t="shared" si="269"/>
        <v>0,99980417690457+0,095618315750447i</v>
      </c>
      <c r="AA287" s="4">
        <f t="shared" si="283"/>
        <v>1.00436609583497</v>
      </c>
      <c r="AB287" s="4">
        <f t="shared" si="284"/>
        <v>0.0953470538366803</v>
      </c>
      <c r="AC287" s="67" t="str">
        <f t="shared" si="285"/>
        <v>-0,894022806819883-1,3789766870169i</v>
      </c>
      <c r="AD287" s="68">
        <f t="shared" si="286"/>
        <v>4.31501024954088</v>
      </c>
      <c r="AE287" s="31">
        <f t="shared" si="287"/>
        <v>-122.956283947062</v>
      </c>
      <c r="AF287" s="32" t="str">
        <f t="shared" si="288"/>
        <v>432,040091031901</v>
      </c>
      <c r="AG287" s="32" t="str">
        <f t="shared" si="270"/>
        <v>1+51,061564613606i</v>
      </c>
      <c r="AH287" s="32">
        <f t="shared" si="289"/>
        <v>51.0713557759089</v>
      </c>
      <c r="AI287" s="32">
        <f t="shared" si="290"/>
        <v>1.55121462791848</v>
      </c>
      <c r="AJ287" s="32" t="str">
        <f t="shared" si="271"/>
        <v>1+0,482531785598578i</v>
      </c>
      <c r="AK287" s="32">
        <f t="shared" si="291"/>
        <v>1.11033189817863</v>
      </c>
      <c r="AL287" s="32">
        <f t="shared" si="292"/>
        <v>0.449575635005314</v>
      </c>
      <c r="AM287" s="32" t="str">
        <f t="shared" si="272"/>
        <v>1-0,142454600091295i</v>
      </c>
      <c r="AN287" s="32">
        <f t="shared" si="293"/>
        <v>1.01009569501467</v>
      </c>
      <c r="AO287" s="32">
        <f t="shared" si="294"/>
        <v>-0.141502540480867</v>
      </c>
      <c r="AP287" s="30" t="str">
        <f t="shared" si="295"/>
        <v>3,05337199496375-8,98297322577777i</v>
      </c>
      <c r="AQ287" s="32">
        <f t="shared" si="296"/>
        <v>19.5432399722428</v>
      </c>
      <c r="AR287" s="31">
        <f t="shared" si="297"/>
        <v>-71.2267632008996</v>
      </c>
      <c r="AS287" t="str">
        <f t="shared" si="273"/>
        <v>-0,000201496259351621</v>
      </c>
      <c r="AT287" t="str">
        <f t="shared" si="274"/>
        <v>0,00691485282040819i</v>
      </c>
      <c r="AU287">
        <f t="shared" si="298"/>
        <v>0.00691485282040819</v>
      </c>
      <c r="AV287">
        <f t="shared" si="299"/>
        <v>1.5707963267949</v>
      </c>
      <c r="AW287" t="str">
        <f t="shared" si="275"/>
        <v>1+0,354027781308276i</v>
      </c>
      <c r="AX287">
        <f t="shared" si="300"/>
        <v>1.0608183963045</v>
      </c>
      <c r="AY287">
        <f t="shared" si="301"/>
        <v>0.340258527207128</v>
      </c>
      <c r="AZ287" t="str">
        <f t="shared" si="276"/>
        <v>1+16,9255409489297i</v>
      </c>
      <c r="BA287">
        <f t="shared" si="302"/>
        <v>16.9550563671695</v>
      </c>
      <c r="BB287">
        <f t="shared" si="303"/>
        <v>1.51178262312701</v>
      </c>
      <c r="BC287" s="30" t="str">
        <f t="shared" si="304"/>
        <v>-0,429105546999214+0,181054915714418i</v>
      </c>
      <c r="BD287" s="32">
        <f t="shared" si="305"/>
        <v>-6.63715514371968</v>
      </c>
      <c r="BE287" s="31">
        <f t="shared" si="306"/>
        <v>157.123386294089</v>
      </c>
      <c r="BF287" s="30" t="str">
        <f t="shared" si="307"/>
        <v>0,633300653390211+0,429859321646009i</v>
      </c>
      <c r="BG287" s="68">
        <f t="shared" si="308"/>
        <v>-2.3221448941788</v>
      </c>
      <c r="BH287" s="31">
        <f t="shared" si="309"/>
        <v>34.1671023470269</v>
      </c>
      <c r="BI287" s="30" t="str">
        <f t="shared" si="263"/>
        <v>0,316192600167067+4,40747164891959i</v>
      </c>
      <c r="BJ287" s="68">
        <f t="shared" si="310"/>
        <v>12.9060848285231</v>
      </c>
      <c r="BK287" s="31">
        <f t="shared" si="264"/>
        <v>85.8966230931892</v>
      </c>
      <c r="BL287" s="32">
        <f t="shared" si="311"/>
        <v>-2.3221448941788</v>
      </c>
      <c r="BM287" s="31">
        <f t="shared" si="312"/>
        <v>34.1671023470269</v>
      </c>
      <c r="BO287">
        <f t="shared" si="313"/>
        <v>0</v>
      </c>
      <c r="BP287">
        <f t="shared" si="314"/>
        <v>0</v>
      </c>
    </row>
    <row r="288" spans="14:68">
      <c r="N288" s="7">
        <v>70</v>
      </c>
      <c r="O288" s="18">
        <f t="shared" si="315"/>
        <v>5011.87233627273</v>
      </c>
      <c r="P288" s="86" t="str">
        <f t="shared" si="265"/>
        <v>54,5454545454545</v>
      </c>
      <c r="Q288" s="4" t="str">
        <f t="shared" si="266"/>
        <v>1+64,1261551630836i</v>
      </c>
      <c r="R288" s="4">
        <f t="shared" si="277"/>
        <v>64.1339518196086</v>
      </c>
      <c r="S288" s="4">
        <f t="shared" si="278"/>
        <v>1.55520332969477</v>
      </c>
      <c r="T288" s="4" t="str">
        <f t="shared" si="267"/>
        <v>1+0,493771394755745i</v>
      </c>
      <c r="U288" s="4">
        <f t="shared" si="279"/>
        <v>1.11526238629259</v>
      </c>
      <c r="V288" s="4">
        <f t="shared" si="280"/>
        <v>0.458652320779918</v>
      </c>
      <c r="W288" t="str">
        <f t="shared" si="268"/>
        <v>1-1,41707351811279i</v>
      </c>
      <c r="X288" s="4">
        <f t="shared" si="281"/>
        <v>1.7343867376501</v>
      </c>
      <c r="Y288" s="4">
        <f t="shared" si="282"/>
        <v>-0.956268652886867</v>
      </c>
      <c r="Z288" t="str">
        <f t="shared" si="269"/>
        <v>0,999794948046407+0,097845552441121i</v>
      </c>
      <c r="AA288" s="4">
        <f t="shared" si="283"/>
        <v>1.00457139630373</v>
      </c>
      <c r="AB288" s="4">
        <f t="shared" si="284"/>
        <v>0.0975549614161821</v>
      </c>
      <c r="AC288" s="67" t="str">
        <f t="shared" si="285"/>
        <v>-0,896876445034318-1,37018510878389i</v>
      </c>
      <c r="AD288" s="68">
        <f t="shared" si="286"/>
        <v>4.28425510335123</v>
      </c>
      <c r="AE288" s="31">
        <f t="shared" si="287"/>
        <v>-123.207390282421</v>
      </c>
      <c r="AF288" s="32" t="str">
        <f t="shared" si="288"/>
        <v>432,040091031901</v>
      </c>
      <c r="AG288" s="32" t="str">
        <f t="shared" si="270"/>
        <v>1+52,2509412439941i</v>
      </c>
      <c r="AH288" s="32">
        <f t="shared" si="289"/>
        <v>52.2605095735138</v>
      </c>
      <c r="AI288" s="32">
        <f t="shared" si="290"/>
        <v>1.55166025172923</v>
      </c>
      <c r="AJ288" s="32" t="str">
        <f t="shared" si="271"/>
        <v>1+0,493771394755745i</v>
      </c>
      <c r="AK288" s="32">
        <f t="shared" si="291"/>
        <v>1.11526238629259</v>
      </c>
      <c r="AL288" s="32">
        <f t="shared" si="292"/>
        <v>0.458652320779918</v>
      </c>
      <c r="AM288" s="32" t="str">
        <f t="shared" si="272"/>
        <v>1-0,14577279399158i</v>
      </c>
      <c r="AN288" s="32">
        <f t="shared" si="293"/>
        <v>1.01056900183417</v>
      </c>
      <c r="AO288" s="32">
        <f t="shared" si="294"/>
        <v>-0.144753219085073</v>
      </c>
      <c r="AP288" s="30" t="str">
        <f t="shared" si="295"/>
        <v>3,04596945727698-8,80542399005594i</v>
      </c>
      <c r="AQ288" s="32">
        <f t="shared" si="296"/>
        <v>19.3858687341646</v>
      </c>
      <c r="AR288" s="31">
        <f t="shared" si="297"/>
        <v>-70.918489942229</v>
      </c>
      <c r="AS288" t="str">
        <f t="shared" si="273"/>
        <v>-0,000201496259351621</v>
      </c>
      <c r="AT288" t="str">
        <f t="shared" si="274"/>
        <v>0,00707592043377653i</v>
      </c>
      <c r="AU288">
        <f t="shared" si="298"/>
        <v>0.00707592043377653</v>
      </c>
      <c r="AV288">
        <f t="shared" si="299"/>
        <v>1.5707963267949</v>
      </c>
      <c r="AW288" t="str">
        <f t="shared" si="275"/>
        <v>1+0,362274147685463i</v>
      </c>
      <c r="AX288">
        <f t="shared" si="300"/>
        <v>1.06359887085368</v>
      </c>
      <c r="AY288">
        <f t="shared" si="301"/>
        <v>0.347567352530648</v>
      </c>
      <c r="AZ288" t="str">
        <f t="shared" si="276"/>
        <v>1+17,3197874436007i</v>
      </c>
      <c r="BA288">
        <f t="shared" si="302"/>
        <v>17.3486321389183</v>
      </c>
      <c r="BB288">
        <f t="shared" si="303"/>
        <v>1.51312292768465</v>
      </c>
      <c r="BC288" s="30" t="str">
        <f t="shared" si="304"/>
        <v>-0,426864932508863+0,183118461583628i</v>
      </c>
      <c r="BD288" s="32">
        <f t="shared" si="305"/>
        <v>-6.66057163799836</v>
      </c>
      <c r="BE288" s="31">
        <f t="shared" si="306"/>
        <v>156.781415244268</v>
      </c>
      <c r="BF288" s="30" t="str">
        <f t="shared" si="307"/>
        <v>0,633751292383665+0,420649339140407i</v>
      </c>
      <c r="BG288" s="68">
        <f t="shared" si="308"/>
        <v>-2.37631653464713</v>
      </c>
      <c r="BH288" s="31">
        <f t="shared" si="309"/>
        <v>33.574024961847</v>
      </c>
      <c r="BI288" s="30" t="str">
        <f t="shared" si="263"/>
        <v>0,312218147846019+4,31649995827443i</v>
      </c>
      <c r="BJ288" s="68">
        <f t="shared" si="310"/>
        <v>12.7252970961663</v>
      </c>
      <c r="BK288" s="31">
        <f t="shared" si="264"/>
        <v>85.8629253020385</v>
      </c>
      <c r="BL288" s="32">
        <f t="shared" si="311"/>
        <v>-2.37631653464713</v>
      </c>
      <c r="BM288" s="31">
        <f t="shared" si="312"/>
        <v>33.574024961847</v>
      </c>
      <c r="BO288">
        <f t="shared" si="313"/>
        <v>0</v>
      </c>
      <c r="BP288">
        <f t="shared" si="314"/>
        <v>0</v>
      </c>
    </row>
    <row r="289" spans="14:68">
      <c r="N289" s="7">
        <v>71</v>
      </c>
      <c r="O289" s="18">
        <f t="shared" si="315"/>
        <v>5128.61383991365</v>
      </c>
      <c r="P289" s="86" t="str">
        <f t="shared" si="265"/>
        <v>54,5454545454545</v>
      </c>
      <c r="Q289" s="4" t="str">
        <f t="shared" si="266"/>
        <v>1+65,6198452002918i</v>
      </c>
      <c r="R289" s="4">
        <f t="shared" si="277"/>
        <v>65.6274644040912</v>
      </c>
      <c r="S289" s="4">
        <f t="shared" si="278"/>
        <v>1.55555821406051</v>
      </c>
      <c r="T289" s="4" t="str">
        <f t="shared" si="267"/>
        <v>1+0,505272808042247i</v>
      </c>
      <c r="U289" s="4">
        <f t="shared" si="279"/>
        <v>1.1204019861402</v>
      </c>
      <c r="V289" s="4">
        <f t="shared" si="280"/>
        <v>0.46785695249671</v>
      </c>
      <c r="W289" t="str">
        <f t="shared" si="268"/>
        <v>1-1,45008140063145i</v>
      </c>
      <c r="X289" s="4">
        <f t="shared" si="281"/>
        <v>1.76145850602768</v>
      </c>
      <c r="Y289" s="4">
        <f t="shared" si="282"/>
        <v>-0.967073229508583</v>
      </c>
      <c r="Z289" t="str">
        <f t="shared" si="269"/>
        <v>0,99978528424556+0,100124668138838i</v>
      </c>
      <c r="AA289" s="4">
        <f t="shared" si="283"/>
        <v>1.00478632741687</v>
      </c>
      <c r="AB289" s="4">
        <f t="shared" si="284"/>
        <v>0.0998133742565932</v>
      </c>
      <c r="AC289" s="67" t="str">
        <f t="shared" si="285"/>
        <v>-0,89980416449858-1,36209928681704i</v>
      </c>
      <c r="AD289" s="68">
        <f t="shared" si="286"/>
        <v>4.25691021011889</v>
      </c>
      <c r="AE289" s="31">
        <f t="shared" si="287"/>
        <v>-123.448791273452</v>
      </c>
      <c r="AF289" s="32" t="str">
        <f t="shared" si="288"/>
        <v>432,040091031901</v>
      </c>
      <c r="AG289" s="32" t="str">
        <f t="shared" si="270"/>
        <v>1+53,4680220150525i</v>
      </c>
      <c r="AH289" s="32">
        <f t="shared" si="289"/>
        <v>53.4773725813277</v>
      </c>
      <c r="AI289" s="32">
        <f t="shared" si="290"/>
        <v>1.55209573924852</v>
      </c>
      <c r="AJ289" s="32" t="str">
        <f t="shared" si="271"/>
        <v>1+0,505272808042247i</v>
      </c>
      <c r="AK289" s="32">
        <f t="shared" si="291"/>
        <v>1.1204019861402</v>
      </c>
      <c r="AL289" s="32">
        <f t="shared" si="292"/>
        <v>0.46785695249671</v>
      </c>
      <c r="AM289" s="32" t="str">
        <f t="shared" si="272"/>
        <v>1-0,14916827855677i</v>
      </c>
      <c r="AN289" s="32">
        <f t="shared" si="293"/>
        <v>1.01106437743973</v>
      </c>
      <c r="AO289" s="32">
        <f t="shared" si="294"/>
        <v>-0.148076429024777</v>
      </c>
      <c r="AP289" s="30" t="str">
        <f t="shared" si="295"/>
        <v>3,03889985017864-8,6325307551132i</v>
      </c>
      <c r="AQ289" s="32">
        <f t="shared" si="296"/>
        <v>19.2301333320532</v>
      </c>
      <c r="AR289" s="31">
        <f t="shared" si="297"/>
        <v>-70.6064608937518</v>
      </c>
      <c r="AS289" t="str">
        <f t="shared" si="273"/>
        <v>-0,000201496259351621</v>
      </c>
      <c r="AT289" t="str">
        <f t="shared" si="274"/>
        <v>0,00724073979381971i</v>
      </c>
      <c r="AU289">
        <f t="shared" si="298"/>
        <v>0.00724073979381971</v>
      </c>
      <c r="AV289">
        <f t="shared" si="299"/>
        <v>1.5707963267949</v>
      </c>
      <c r="AW289" t="str">
        <f t="shared" si="275"/>
        <v>1+0,370712596611017i</v>
      </c>
      <c r="AX289">
        <f t="shared" si="300"/>
        <v>1.06650261569585</v>
      </c>
      <c r="AY289">
        <f t="shared" si="301"/>
        <v>0.355006562888395</v>
      </c>
      <c r="AZ289" t="str">
        <f t="shared" si="276"/>
        <v>1+17,7232171188288i</v>
      </c>
      <c r="BA289">
        <f t="shared" si="302"/>
        <v>17.7514062834792</v>
      </c>
      <c r="BB289">
        <f t="shared" si="303"/>
        <v>1.51443292366342</v>
      </c>
      <c r="BC289" s="30" t="str">
        <f t="shared" si="304"/>
        <v>-0,424543664022699+0,185211815593877i</v>
      </c>
      <c r="BD289" s="32">
        <f t="shared" si="305"/>
        <v>-6.68490227152468</v>
      </c>
      <c r="BE289" s="31">
        <f t="shared" si="306"/>
        <v>156.430237128621</v>
      </c>
      <c r="BF289" s="30" t="str">
        <f t="shared" si="307"/>
        <v>0,63428303882962+0,411616259002298i</v>
      </c>
      <c r="BG289" s="68">
        <f t="shared" si="308"/>
        <v>-2.42799206140579</v>
      </c>
      <c r="BH289" s="31">
        <f t="shared" si="309"/>
        <v>32.9814458551697</v>
      </c>
      <c r="BI289" s="30" t="str">
        <f t="shared" si="263"/>
        <v>0,308701017331627+4,22772639522394i</v>
      </c>
      <c r="BJ289" s="68">
        <f t="shared" si="310"/>
        <v>12.5452310605285</v>
      </c>
      <c r="BK289" s="31">
        <f t="shared" si="264"/>
        <v>85.8237762348694</v>
      </c>
      <c r="BL289" s="32">
        <f t="shared" si="311"/>
        <v>-2.42799206140579</v>
      </c>
      <c r="BM289" s="31">
        <f t="shared" si="312"/>
        <v>32.9814458551697</v>
      </c>
      <c r="BO289">
        <f t="shared" si="313"/>
        <v>0</v>
      </c>
      <c r="BP289">
        <f t="shared" si="314"/>
        <v>0</v>
      </c>
    </row>
    <row r="290" spans="14:68">
      <c r="N290" s="7">
        <v>72</v>
      </c>
      <c r="O290" s="18">
        <f t="shared" si="315"/>
        <v>5248.07460249773</v>
      </c>
      <c r="P290" s="86" t="str">
        <f t="shared" si="265"/>
        <v>54,5454545454545</v>
      </c>
      <c r="Q290" s="4" t="str">
        <f t="shared" si="266"/>
        <v>1+67,1483277480066i</v>
      </c>
      <c r="R290" s="4">
        <f t="shared" si="277"/>
        <v>67.1557735370066</v>
      </c>
      <c r="S290" s="4">
        <f t="shared" si="278"/>
        <v>1.55590502398102</v>
      </c>
      <c r="T290" s="4" t="str">
        <f t="shared" si="267"/>
        <v>1+0,517042123659651i</v>
      </c>
      <c r="U290" s="4">
        <f t="shared" si="279"/>
        <v>1.1257586587002</v>
      </c>
      <c r="V290" s="4">
        <f t="shared" si="280"/>
        <v>0.477188170715733</v>
      </c>
      <c r="W290" t="str">
        <f t="shared" si="268"/>
        <v>1-1,48385813550283i</v>
      </c>
      <c r="X290" s="4">
        <f t="shared" si="281"/>
        <v>1.78936719716718</v>
      </c>
      <c r="Y290" s="4">
        <f t="shared" si="282"/>
        <v>-0.977789757160651</v>
      </c>
      <c r="Z290" t="str">
        <f t="shared" si="269"/>
        <v>0,999775165003809+0,102456871260909i</v>
      </c>
      <c r="AA290" s="4">
        <f t="shared" si="283"/>
        <v>1.00501133875542</v>
      </c>
      <c r="AB290" s="4">
        <f t="shared" si="284"/>
        <v>0.102123403574037</v>
      </c>
      <c r="AC290" s="67" t="str">
        <f t="shared" si="285"/>
        <v>-0,902811901248733-1,35471360146213i</v>
      </c>
      <c r="AD290" s="68">
        <f t="shared" si="286"/>
        <v>4.23298030559135</v>
      </c>
      <c r="AE290" s="31">
        <f t="shared" si="287"/>
        <v>-123.680389332465</v>
      </c>
      <c r="AF290" s="32" t="str">
        <f t="shared" si="288"/>
        <v>432,040091031901</v>
      </c>
      <c r="AG290" s="32" t="str">
        <f t="shared" si="270"/>
        <v>1+54,7134522391164i</v>
      </c>
      <c r="AH290" s="32">
        <f t="shared" si="289"/>
        <v>54.7225899964729</v>
      </c>
      <c r="AI290" s="32">
        <f t="shared" si="290"/>
        <v>1.55252132071652</v>
      </c>
      <c r="AJ290" s="32" t="str">
        <f t="shared" si="271"/>
        <v>1+0,517042123659651i</v>
      </c>
      <c r="AK290" s="32">
        <f t="shared" si="291"/>
        <v>1.1257586587002</v>
      </c>
      <c r="AL290" s="32">
        <f t="shared" si="292"/>
        <v>0.477188170715733</v>
      </c>
      <c r="AM290" s="32" t="str">
        <f t="shared" si="272"/>
        <v>1-0,152642854117726i</v>
      </c>
      <c r="AN290" s="32">
        <f t="shared" si="293"/>
        <v>1.01158283937264</v>
      </c>
      <c r="AO290" s="32">
        <f t="shared" si="294"/>
        <v>-0.151473638552511</v>
      </c>
      <c r="AP290" s="30" t="str">
        <f t="shared" si="295"/>
        <v>3,03214821029767-8,46420270119178i</v>
      </c>
      <c r="AQ290" s="32">
        <f t="shared" si="296"/>
        <v>19.0760830808966</v>
      </c>
      <c r="AR290" s="31">
        <f t="shared" si="297"/>
        <v>-70.2908512621023</v>
      </c>
      <c r="AS290" t="str">
        <f t="shared" si="273"/>
        <v>-0,000201496259351621</v>
      </c>
      <c r="AT290" t="str">
        <f t="shared" si="274"/>
        <v>0,0074093982899441i</v>
      </c>
      <c r="AU290">
        <f t="shared" si="298"/>
        <v>0.0074093982899441</v>
      </c>
      <c r="AV290">
        <f t="shared" si="299"/>
        <v>1.5707963267949</v>
      </c>
      <c r="AW290" t="str">
        <f t="shared" si="275"/>
        <v>1+0,379347602262256i</v>
      </c>
      <c r="AX290">
        <f t="shared" si="300"/>
        <v>1.06953476023088</v>
      </c>
      <c r="AY290">
        <f t="shared" si="301"/>
        <v>0.362576808070576</v>
      </c>
      <c r="AZ290" t="str">
        <f t="shared" si="276"/>
        <v>1+18,1360438783678i</v>
      </c>
      <c r="BA290">
        <f t="shared" si="302"/>
        <v>18.1635923637942</v>
      </c>
      <c r="BB290">
        <f t="shared" si="303"/>
        <v>1.51571328764578</v>
      </c>
      <c r="BC290" s="30" t="str">
        <f t="shared" si="304"/>
        <v>-0,422139902921672+0,187332445912612i</v>
      </c>
      <c r="BD290" s="32">
        <f t="shared" si="305"/>
        <v>-6.7101821956694</v>
      </c>
      <c r="BE290" s="31">
        <f t="shared" si="306"/>
        <v>156.069853482233</v>
      </c>
      <c r="BF290" s="30" t="str">
        <f t="shared" si="307"/>
        <v>0,634894740822655+0,402752706547951i</v>
      </c>
      <c r="BG290" s="68">
        <f t="shared" si="308"/>
        <v>-2.47720189007804</v>
      </c>
      <c r="BH290" s="31">
        <f t="shared" si="309"/>
        <v>32.3894641497683</v>
      </c>
      <c r="BI290" s="30" t="str">
        <f t="shared" si="263"/>
        <v>0,305629043575214+4,14109744719506i</v>
      </c>
      <c r="BJ290" s="68">
        <f t="shared" si="310"/>
        <v>12.3659008852271</v>
      </c>
      <c r="BK290" s="31">
        <f t="shared" si="264"/>
        <v>85.7790022201308</v>
      </c>
      <c r="BL290" s="32">
        <f t="shared" si="311"/>
        <v>-2.47720189007804</v>
      </c>
      <c r="BM290" s="31">
        <f t="shared" si="312"/>
        <v>32.3894641497683</v>
      </c>
      <c r="BO290">
        <f t="shared" si="313"/>
        <v>0</v>
      </c>
      <c r="BP290">
        <f t="shared" si="314"/>
        <v>0</v>
      </c>
    </row>
    <row r="291" spans="14:68">
      <c r="N291" s="7">
        <v>73</v>
      </c>
      <c r="O291" s="18">
        <f t="shared" si="315"/>
        <v>5370.31796370253</v>
      </c>
      <c r="P291" s="86" t="str">
        <f t="shared" si="265"/>
        <v>54,5454545454545</v>
      </c>
      <c r="Q291" s="4" t="str">
        <f t="shared" si="266"/>
        <v>1+68,7124132279063i</v>
      </c>
      <c r="R291" s="4">
        <f t="shared" si="277"/>
        <v>68.7196895482114</v>
      </c>
      <c r="S291" s="4">
        <f t="shared" si="278"/>
        <v>1.55624394300564</v>
      </c>
      <c r="T291" s="4" t="str">
        <f t="shared" si="267"/>
        <v>1+0,529085581854879i</v>
      </c>
      <c r="U291" s="4">
        <f t="shared" si="279"/>
        <v>1.13134059987553</v>
      </c>
      <c r="V291" s="4">
        <f t="shared" si="280"/>
        <v>0.486644422193911</v>
      </c>
      <c r="W291" t="str">
        <f t="shared" si="268"/>
        <v>1-1,51842163159883i</v>
      </c>
      <c r="X291" s="4">
        <f t="shared" si="281"/>
        <v>1.81813207752002</v>
      </c>
      <c r="Y291" s="4">
        <f t="shared" si="282"/>
        <v>-0.988414072058427</v>
      </c>
      <c r="Z291" t="str">
        <f t="shared" si="269"/>
        <v>0,999764568856888+0,1048433983723i</v>
      </c>
      <c r="AA291" s="4">
        <f t="shared" si="283"/>
        <v>1.00524690067856</v>
      </c>
      <c r="AB291" s="4">
        <f t="shared" si="284"/>
        <v>0.104486181906985</v>
      </c>
      <c r="AC291" s="67" t="str">
        <f t="shared" si="285"/>
        <v>-0,905905735469237-1,34802270405082i</v>
      </c>
      <c r="AD291" s="68">
        <f t="shared" si="286"/>
        <v>4.21246871037313</v>
      </c>
      <c r="AE291" s="31">
        <f t="shared" si="287"/>
        <v>-123.902110292721</v>
      </c>
      <c r="AF291" s="32" t="str">
        <f t="shared" si="288"/>
        <v>432,040091031901</v>
      </c>
      <c r="AG291" s="32" t="str">
        <f t="shared" si="270"/>
        <v>1+55,9878922597755i</v>
      </c>
      <c r="AH291" s="32">
        <f t="shared" si="289"/>
        <v>55.9968220499363</v>
      </c>
      <c r="AI291" s="32">
        <f t="shared" si="290"/>
        <v>1.55293722116514</v>
      </c>
      <c r="AJ291" s="32" t="str">
        <f t="shared" si="271"/>
        <v>1+0,529085581854879i</v>
      </c>
      <c r="AK291" s="32">
        <f t="shared" si="291"/>
        <v>1.13134059987553</v>
      </c>
      <c r="AL291" s="32">
        <f t="shared" si="292"/>
        <v>0.486644422193911</v>
      </c>
      <c r="AM291" s="32" t="str">
        <f t="shared" si="272"/>
        <v>1-0,156198362940402i</v>
      </c>
      <c r="AN291" s="32">
        <f t="shared" si="293"/>
        <v>1.01212545101151</v>
      </c>
      <c r="AO291" s="32">
        <f t="shared" si="294"/>
        <v>-0.154946335093206</v>
      </c>
      <c r="AP291" s="30" t="str">
        <f t="shared" si="295"/>
        <v>3,02570024588153-8,30035137234857i</v>
      </c>
      <c r="AQ291" s="32">
        <f t="shared" si="296"/>
        <v>18.9237677392295</v>
      </c>
      <c r="AR291" s="31">
        <f t="shared" si="297"/>
        <v>-69.9718481581036</v>
      </c>
      <c r="AS291" t="str">
        <f t="shared" si="273"/>
        <v>-0,000201496259351621</v>
      </c>
      <c r="AT291" t="str">
        <f t="shared" si="274"/>
        <v>0,0075819853471168i</v>
      </c>
      <c r="AU291">
        <f t="shared" si="298"/>
        <v>0.0075819853471168</v>
      </c>
      <c r="AV291">
        <f t="shared" si="299"/>
        <v>1.5707963267949</v>
      </c>
      <c r="AW291" t="str">
        <f t="shared" si="275"/>
        <v>1+0,388183743033473i</v>
      </c>
      <c r="AX291">
        <f t="shared" si="300"/>
        <v>1.0727006191643</v>
      </c>
      <c r="AY291">
        <f t="shared" si="301"/>
        <v>0.370278630200616</v>
      </c>
      <c r="AZ291" t="str">
        <f t="shared" si="276"/>
        <v>1+18,55848660843i</v>
      </c>
      <c r="BA291">
        <f t="shared" si="302"/>
        <v>18.585408932689</v>
      </c>
      <c r="BB291">
        <f t="shared" si="303"/>
        <v>1.51696468169664</v>
      </c>
      <c r="BC291" s="30" t="str">
        <f t="shared" si="304"/>
        <v>-0,41965185872816+0,189477688585332i</v>
      </c>
      <c r="BD291" s="32">
        <f t="shared" si="305"/>
        <v>-6.73644725301141</v>
      </c>
      <c r="BE291" s="31">
        <f t="shared" si="306"/>
        <v>155.700271177243</v>
      </c>
      <c r="BF291" s="30" t="str">
        <f t="shared" si="307"/>
        <v>0,635585251846265+0,394051308529781i</v>
      </c>
      <c r="BG291" s="68">
        <f t="shared" si="308"/>
        <v>-2.52397854263828</v>
      </c>
      <c r="BH291" s="31">
        <f t="shared" si="309"/>
        <v>31.798160884522</v>
      </c>
      <c r="BI291" s="30" t="str">
        <f t="shared" si="263"/>
        <v>0,302990660340261+4,05656057044461i</v>
      </c>
      <c r="BJ291" s="68">
        <f t="shared" si="310"/>
        <v>12.1873204862181</v>
      </c>
      <c r="BK291" s="31">
        <f t="shared" si="264"/>
        <v>85.7284230191395</v>
      </c>
      <c r="BL291" s="32">
        <f t="shared" si="311"/>
        <v>-2.52397854263828</v>
      </c>
      <c r="BM291" s="31">
        <f t="shared" si="312"/>
        <v>31.798160884522</v>
      </c>
      <c r="BO291">
        <f t="shared" si="313"/>
        <v>0</v>
      </c>
      <c r="BP291">
        <f t="shared" si="314"/>
        <v>0</v>
      </c>
    </row>
    <row r="292" spans="14:68">
      <c r="N292" s="7">
        <v>74</v>
      </c>
      <c r="O292" s="18">
        <f t="shared" si="315"/>
        <v>5495.40873857625</v>
      </c>
      <c r="P292" s="86" t="str">
        <f t="shared" si="265"/>
        <v>54,5454545454545</v>
      </c>
      <c r="Q292" s="4" t="str">
        <f t="shared" si="266"/>
        <v>1+70,312930938816i</v>
      </c>
      <c r="R292" s="4">
        <f t="shared" si="277"/>
        <v>70.320041646793</v>
      </c>
      <c r="S292" s="4">
        <f t="shared" si="278"/>
        <v>1.55657515052208</v>
      </c>
      <c r="T292" s="4" t="str">
        <f t="shared" si="267"/>
        <v>1+0,541409568228884i</v>
      </c>
      <c r="U292" s="4">
        <f t="shared" si="279"/>
        <v>1.13715624281353</v>
      </c>
      <c r="V292" s="4">
        <f t="shared" si="280"/>
        <v>0.496223955224008</v>
      </c>
      <c r="W292" t="str">
        <f t="shared" si="268"/>
        <v>1-1,55379021494259i</v>
      </c>
      <c r="X292" s="4">
        <f t="shared" si="281"/>
        <v>1.84777272196862</v>
      </c>
      <c r="Y292" s="4">
        <f t="shared" si="282"/>
        <v>-0.998942213411682</v>
      </c>
      <c r="Z292" t="str">
        <f t="shared" si="269"/>
        <v>0,999753473328947+0,107285514841274i</v>
      </c>
      <c r="AA292" s="4">
        <f t="shared" si="283"/>
        <v>1.00549350526398</v>
      </c>
      <c r="AB292" s="4">
        <f t="shared" si="284"/>
        <v>0.106902863298943</v>
      </c>
      <c r="AC292" s="67" t="str">
        <f t="shared" si="285"/>
        <v>-0,909091901968389-1,34202150783404i</v>
      </c>
      <c r="AD292" s="68">
        <f t="shared" si="286"/>
        <v>4.19537735237712</v>
      </c>
      <c r="AE292" s="31">
        <f t="shared" si="287"/>
        <v>-124.113903983071</v>
      </c>
      <c r="AF292" s="32" t="str">
        <f t="shared" si="288"/>
        <v>432,040091031901</v>
      </c>
      <c r="AG292" s="32" t="str">
        <f t="shared" si="270"/>
        <v>1+57,2920178019982i</v>
      </c>
      <c r="AH292" s="32">
        <f t="shared" si="289"/>
        <v>57.3007443566353</v>
      </c>
      <c r="AI292" s="32">
        <f t="shared" si="290"/>
        <v>1.55334366053446</v>
      </c>
      <c r="AJ292" s="32" t="str">
        <f t="shared" si="271"/>
        <v>1+0,541409568228884i</v>
      </c>
      <c r="AK292" s="32">
        <f t="shared" si="291"/>
        <v>1.13715624281353</v>
      </c>
      <c r="AL292" s="32">
        <f t="shared" si="292"/>
        <v>0.496223955224008</v>
      </c>
      <c r="AM292" s="32" t="str">
        <f t="shared" si="272"/>
        <v>1-0,15983669020264i</v>
      </c>
      <c r="AN292" s="32">
        <f t="shared" si="293"/>
        <v>1.01269332353627</v>
      </c>
      <c r="AO292" s="32">
        <f t="shared" si="294"/>
        <v>-0.158496024709036</v>
      </c>
      <c r="AP292" s="30" t="str">
        <f t="shared" si="295"/>
        <v>3,01954230673058-8,14089063333232i</v>
      </c>
      <c r="AQ292" s="32">
        <f t="shared" si="296"/>
        <v>18.7732374392934</v>
      </c>
      <c r="AR292" s="31">
        <f t="shared" si="297"/>
        <v>-69.6496508398315</v>
      </c>
      <c r="AS292" t="str">
        <f t="shared" si="273"/>
        <v>-0,000201496259351621</v>
      </c>
      <c r="AT292" t="str">
        <f t="shared" si="274"/>
        <v>0,00775859247327998i</v>
      </c>
      <c r="AU292">
        <f t="shared" si="298"/>
        <v>0.00775859247327998</v>
      </c>
      <c r="AV292">
        <f t="shared" si="299"/>
        <v>1.5707963267949</v>
      </c>
      <c r="AW292" t="str">
        <f t="shared" si="275"/>
        <v>1+0,397225703963466i</v>
      </c>
      <c r="AX292">
        <f t="shared" si="300"/>
        <v>1.07600569695949</v>
      </c>
      <c r="AY292">
        <f t="shared" si="301"/>
        <v>0.378112457014043</v>
      </c>
      <c r="AZ292" t="str">
        <f t="shared" si="276"/>
        <v>1+18,9907692937427i</v>
      </c>
      <c r="BA292">
        <f t="shared" si="302"/>
        <v>19.0170796487831</v>
      </c>
      <c r="BB292">
        <f t="shared" si="303"/>
        <v>1.51818775363545</v>
      </c>
      <c r="BC292" s="30" t="str">
        <f t="shared" si="304"/>
        <v>-0,417077798191424+0,191644745426955i</v>
      </c>
      <c r="BD292" s="32">
        <f t="shared" si="305"/>
        <v>-6.76373395819641</v>
      </c>
      <c r="BE292" s="31">
        <f t="shared" si="306"/>
        <v>155.321502823532</v>
      </c>
      <c r="BF292" s="30" t="str">
        <f t="shared" si="307"/>
        <v>0,636353419052982+0,385504689490518i</v>
      </c>
      <c r="BG292" s="68">
        <f t="shared" si="308"/>
        <v>-2.56835660581929</v>
      </c>
      <c r="BH292" s="31">
        <f t="shared" si="309"/>
        <v>31.207598840461</v>
      </c>
      <c r="BI292" s="30" t="str">
        <f t="shared" si="263"/>
        <v>0,300774856136611+3,97406415734673i</v>
      </c>
      <c r="BJ292" s="68">
        <f t="shared" si="310"/>
        <v>12.009503481097</v>
      </c>
      <c r="BK292" s="31">
        <f t="shared" si="264"/>
        <v>85.6718519837007</v>
      </c>
      <c r="BL292" s="32">
        <f t="shared" si="311"/>
        <v>-2.56835660581929</v>
      </c>
      <c r="BM292" s="31">
        <f t="shared" si="312"/>
        <v>31.207598840461</v>
      </c>
      <c r="BO292">
        <f t="shared" si="313"/>
        <v>0</v>
      </c>
      <c r="BP292">
        <f t="shared" si="314"/>
        <v>0</v>
      </c>
    </row>
    <row r="293" spans="14:68">
      <c r="N293" s="7">
        <v>75</v>
      </c>
      <c r="O293" s="18">
        <f t="shared" si="315"/>
        <v>5623.4132519035</v>
      </c>
      <c r="P293" s="86" t="str">
        <f t="shared" si="265"/>
        <v>54,5454545454545</v>
      </c>
      <c r="Q293" s="4" t="str">
        <f t="shared" si="266"/>
        <v>1+71,950729496411i</v>
      </c>
      <c r="R293" s="4">
        <f t="shared" si="277"/>
        <v>71.9576783607261</v>
      </c>
      <c r="S293" s="4">
        <f t="shared" si="278"/>
        <v>1.55689882185012</v>
      </c>
      <c r="T293" s="4" t="str">
        <f t="shared" si="267"/>
        <v>1+0,554020617122365i</v>
      </c>
      <c r="U293" s="4">
        <f t="shared" si="279"/>
        <v>1.14321425996908</v>
      </c>
      <c r="V293" s="4">
        <f t="shared" si="280"/>
        <v>0.505924815474331</v>
      </c>
      <c r="W293" t="str">
        <f t="shared" si="268"/>
        <v>1-1,58998263842516i</v>
      </c>
      <c r="X293" s="4">
        <f t="shared" si="281"/>
        <v>1.87830902422723</v>
      </c>
      <c r="Y293" s="4">
        <f t="shared" si="282"/>
        <v>-1.00937042753063</v>
      </c>
      <c r="Z293" t="str">
        <f t="shared" si="269"/>
        <v>0,999741854884884+0,109784515510308i</v>
      </c>
      <c r="AA293" s="4">
        <f t="shared" si="283"/>
        <v>1.00575166728895</v>
      </c>
      <c r="AB293" s="4">
        <f t="shared" si="284"/>
        <v>0.109374623464389</v>
      </c>
      <c r="AC293" s="67" t="str">
        <f t="shared" si="285"/>
        <v>-0,912376800761694-1,33670517861837i</v>
      </c>
      <c r="AD293" s="68">
        <f t="shared" si="286"/>
        <v>4.18170678520273</v>
      </c>
      <c r="AE293" s="31">
        <f t="shared" si="287"/>
        <v>-124.315744716451</v>
      </c>
      <c r="AF293" s="32" t="str">
        <f t="shared" si="288"/>
        <v>432,040091031901</v>
      </c>
      <c r="AG293" s="32" t="str">
        <f t="shared" si="270"/>
        <v>1+58,626520330409i</v>
      </c>
      <c r="AH293" s="32">
        <f t="shared" si="289"/>
        <v>58.635048273638</v>
      </c>
      <c r="AI293" s="32">
        <f t="shared" si="290"/>
        <v>1.55374085378659</v>
      </c>
      <c r="AJ293" s="32" t="str">
        <f t="shared" si="271"/>
        <v>1+0,554020617122365i</v>
      </c>
      <c r="AK293" s="32">
        <f t="shared" si="291"/>
        <v>1.14321425996908</v>
      </c>
      <c r="AL293" s="32">
        <f t="shared" si="292"/>
        <v>0.505924815474331</v>
      </c>
      <c r="AM293" s="32" t="str">
        <f t="shared" si="272"/>
        <v>1-0,163559764993711i</v>
      </c>
      <c r="AN293" s="32">
        <f t="shared" si="293"/>
        <v>1.01328761796678</v>
      </c>
      <c r="AO293" s="32">
        <f t="shared" si="294"/>
        <v>-0.162124231492285</v>
      </c>
      <c r="AP293" s="30" t="str">
        <f t="shared" si="295"/>
        <v>3,01366135547115-7,98573662744015i</v>
      </c>
      <c r="AQ293" s="32">
        <f t="shared" si="296"/>
        <v>18.6245426129443</v>
      </c>
      <c r="AR293" s="31">
        <f t="shared" si="297"/>
        <v>-69.3244709227204</v>
      </c>
      <c r="AS293" t="str">
        <f t="shared" si="273"/>
        <v>-0,000201496259351621</v>
      </c>
      <c r="AT293" t="str">
        <f t="shared" si="274"/>
        <v>0,00793931330786962i</v>
      </c>
      <c r="AU293">
        <f t="shared" si="298"/>
        <v>0.00793931330786962</v>
      </c>
      <c r="AV293">
        <f t="shared" si="299"/>
        <v>1.5707963267949</v>
      </c>
      <c r="AW293" t="str">
        <f t="shared" si="275"/>
        <v>1+0,406478279219604i</v>
      </c>
      <c r="AX293">
        <f t="shared" si="300"/>
        <v>1.07945569222517</v>
      </c>
      <c r="AY293">
        <f t="shared" si="301"/>
        <v>0.386078595057729</v>
      </c>
      <c r="AZ293" t="str">
        <f t="shared" si="276"/>
        <v>1+19,4331211363074i</v>
      </c>
      <c r="BA293">
        <f t="shared" si="302"/>
        <v>19.4588333951036</v>
      </c>
      <c r="BB293">
        <f t="shared" si="303"/>
        <v>1.51938313730606</v>
      </c>
      <c r="BC293" s="30" t="str">
        <f t="shared" si="304"/>
        <v>-0,414416054843356+0,193830682447419i</v>
      </c>
      <c r="BD293" s="32">
        <f t="shared" si="305"/>
        <v>-6.79207947482027</v>
      </c>
      <c r="BE293" s="31">
        <f t="shared" si="306"/>
        <v>154.933567173835</v>
      </c>
      <c r="BF293" s="30" t="str">
        <f t="shared" si="307"/>
        <v>0,637198071304862+0,377105468670876i</v>
      </c>
      <c r="BG293" s="68">
        <f t="shared" si="308"/>
        <v>-2.61037268961753</v>
      </c>
      <c r="BH293" s="31">
        <f t="shared" si="309"/>
        <v>30.6178224573844</v>
      </c>
      <c r="BI293" s="30" t="str">
        <f t="shared" si="263"/>
        <v>0,29897113077384+3,89355750535822i</v>
      </c>
      <c r="BJ293" s="68">
        <f t="shared" si="310"/>
        <v>11.832463138124</v>
      </c>
      <c r="BK293" s="31">
        <f t="shared" si="264"/>
        <v>85.6090962511148</v>
      </c>
      <c r="BL293" s="32">
        <f t="shared" si="311"/>
        <v>-2.61037268961753</v>
      </c>
      <c r="BM293" s="31">
        <f t="shared" si="312"/>
        <v>30.6178224573844</v>
      </c>
      <c r="BO293">
        <f t="shared" si="313"/>
        <v>0</v>
      </c>
      <c r="BP293">
        <f t="shared" si="314"/>
        <v>0</v>
      </c>
    </row>
    <row r="294" spans="14:68">
      <c r="N294" s="7">
        <v>76</v>
      </c>
      <c r="O294" s="18">
        <f t="shared" si="315"/>
        <v>5754.39937337157</v>
      </c>
      <c r="P294" s="86" t="str">
        <f t="shared" si="265"/>
        <v>54,5454545454545</v>
      </c>
      <c r="Q294" s="4" t="str">
        <f t="shared" si="266"/>
        <v>1+73,6266772831656i</v>
      </c>
      <c r="R294" s="4">
        <f t="shared" si="277"/>
        <v>73.633467986775</v>
      </c>
      <c r="S294" s="4">
        <f t="shared" si="278"/>
        <v>1.55721512833317</v>
      </c>
      <c r="T294" s="4" t="str">
        <f t="shared" si="267"/>
        <v>1+0,566925415080376i</v>
      </c>
      <c r="U294" s="4">
        <f t="shared" si="279"/>
        <v>1.14952356490159</v>
      </c>
      <c r="V294" s="4">
        <f t="shared" si="280"/>
        <v>0.515744842384676</v>
      </c>
      <c r="W294" t="str">
        <f t="shared" si="268"/>
        <v>1-1,62701809174853i</v>
      </c>
      <c r="X294" s="4">
        <f t="shared" si="281"/>
        <v>1.90976120781553</v>
      </c>
      <c r="Y294" s="4">
        <f t="shared" si="282"/>
        <v>-1.01969517096463</v>
      </c>
      <c r="Z294" t="str">
        <f t="shared" si="269"/>
        <v>0,999729688880422+0,112341725382636i</v>
      </c>
      <c r="AA294" s="4">
        <f t="shared" si="283"/>
        <v>1.00602192525357</v>
      </c>
      <c r="AB294" s="4">
        <f t="shared" si="284"/>
        <v>0.111902659936246</v>
      </c>
      <c r="AC294" s="67" t="str">
        <f t="shared" si="285"/>
        <v>-0,915767007765774-1,33206912507664i</v>
      </c>
      <c r="AD294" s="68">
        <f t="shared" si="286"/>
        <v>4.17145620192858</v>
      </c>
      <c r="AE294" s="31">
        <f t="shared" si="287"/>
        <v>-124.50763168991</v>
      </c>
      <c r="AF294" s="32" t="str">
        <f t="shared" si="288"/>
        <v>432,040091031901</v>
      </c>
      <c r="AG294" s="32" t="str">
        <f t="shared" si="270"/>
        <v>1+59,9921074159127i</v>
      </c>
      <c r="AH294" s="32">
        <f t="shared" si="289"/>
        <v>60.0004412667308</v>
      </c>
      <c r="AI294" s="32">
        <f t="shared" si="290"/>
        <v>1.55412901101704</v>
      </c>
      <c r="AJ294" s="32" t="str">
        <f t="shared" si="271"/>
        <v>1+0,566925415080376i</v>
      </c>
      <c r="AK294" s="32">
        <f t="shared" si="291"/>
        <v>1.14952356490159</v>
      </c>
      <c r="AL294" s="32">
        <f t="shared" si="292"/>
        <v>0.515744842384676</v>
      </c>
      <c r="AM294" s="32" t="str">
        <f t="shared" si="272"/>
        <v>1-0,167369561337152i</v>
      </c>
      <c r="AN294" s="32">
        <f t="shared" si="293"/>
        <v>1.01390954727835</v>
      </c>
      <c r="AO294" s="32">
        <f t="shared" si="294"/>
        <v>-0.165832496881518</v>
      </c>
      <c r="AP294" s="30" t="str">
        <f t="shared" si="295"/>
        <v>3,00804494010877-7,83480773534729i</v>
      </c>
      <c r="AQ294" s="32">
        <f t="shared" si="296"/>
        <v>18.4777339135071</v>
      </c>
      <c r="AR294" s="31">
        <f t="shared" si="297"/>
        <v>-68.9965325532628</v>
      </c>
      <c r="AS294" t="str">
        <f t="shared" si="273"/>
        <v>-0,000201496259351621</v>
      </c>
      <c r="AT294" t="str">
        <f t="shared" si="274"/>
        <v>0,0081242436714643i</v>
      </c>
      <c r="AU294">
        <f t="shared" si="298"/>
        <v>0.0081242436714643</v>
      </c>
      <c r="AV294">
        <f t="shared" si="299"/>
        <v>1.5707963267949</v>
      </c>
      <c r="AW294" t="str">
        <f t="shared" si="275"/>
        <v>1+0,415946374639761i</v>
      </c>
      <c r="AX294">
        <f t="shared" si="300"/>
        <v>1.08305650202377</v>
      </c>
      <c r="AY294">
        <f t="shared" si="301"/>
        <v>0.394177222836179</v>
      </c>
      <c r="AZ294" t="str">
        <f t="shared" si="276"/>
        <v>1+19,8857766769264i</v>
      </c>
      <c r="BA294">
        <f t="shared" si="302"/>
        <v>19.9109044004684</v>
      </c>
      <c r="BB294">
        <f t="shared" si="303"/>
        <v>1.52055145284389</v>
      </c>
      <c r="BC294" s="30" t="str">
        <f t="shared" si="304"/>
        <v>-0,411665039003633+0,196032428871466i</v>
      </c>
      <c r="BD294" s="32">
        <f t="shared" si="305"/>
        <v>-6.8215215881514</v>
      </c>
      <c r="BE294" s="31">
        <f t="shared" si="306"/>
        <v>154.53648953174</v>
      </c>
      <c r="BF294" s="30" t="str">
        <f t="shared" si="307"/>
        <v>0,6381180069836+0,368846257517531i</v>
      </c>
      <c r="BG294" s="68">
        <f t="shared" si="308"/>
        <v>-2.65006538622282</v>
      </c>
      <c r="BH294" s="31">
        <f t="shared" si="309"/>
        <v>30.0288578418292</v>
      </c>
      <c r="BI294" s="30" t="str">
        <f t="shared" si="263"/>
        <v>0,297569452506522+3,81499078772175i</v>
      </c>
      <c r="BJ294" s="68">
        <f t="shared" si="310"/>
        <v>11.6562123253557</v>
      </c>
      <c r="BK294" s="31">
        <f t="shared" si="264"/>
        <v>85.5399569784769</v>
      </c>
      <c r="BL294" s="32">
        <f t="shared" si="311"/>
        <v>-2.65006538622282</v>
      </c>
      <c r="BM294" s="31">
        <f t="shared" si="312"/>
        <v>30.0288578418292</v>
      </c>
      <c r="BO294">
        <f t="shared" si="313"/>
        <v>0</v>
      </c>
      <c r="BP294">
        <f t="shared" si="314"/>
        <v>0</v>
      </c>
    </row>
    <row r="295" spans="14:68">
      <c r="N295" s="7">
        <v>77</v>
      </c>
      <c r="O295" s="18">
        <f t="shared" si="315"/>
        <v>5888.4365535559</v>
      </c>
      <c r="P295" s="86" t="str">
        <f t="shared" si="265"/>
        <v>54,5454545454545</v>
      </c>
      <c r="Q295" s="4" t="str">
        <f t="shared" si="266"/>
        <v>1+75,3416629087799i</v>
      </c>
      <c r="R295" s="4">
        <f t="shared" si="277"/>
        <v>75.3482990508759</v>
      </c>
      <c r="S295" s="4">
        <f t="shared" si="278"/>
        <v>1.55752423742779</v>
      </c>
      <c r="T295" s="4" t="str">
        <f t="shared" si="267"/>
        <v>1+0,580130804397606i</v>
      </c>
      <c r="U295" s="4">
        <f t="shared" si="279"/>
        <v>1.15609331379911</v>
      </c>
      <c r="V295" s="4">
        <f t="shared" si="280"/>
        <v>0.525681666173527</v>
      </c>
      <c r="W295" t="str">
        <f t="shared" si="268"/>
        <v>1-1,66491621160027i</v>
      </c>
      <c r="X295" s="4">
        <f t="shared" si="281"/>
        <v>1.94214983758962</v>
      </c>
      <c r="Y295" s="4">
        <f t="shared" si="282"/>
        <v>-1.02991311269721</v>
      </c>
      <c r="Z295" t="str">
        <f t="shared" si="269"/>
        <v>0,999716949509835+0,114958500324781i</v>
      </c>
      <c r="AA295" s="4">
        <f t="shared" si="283"/>
        <v>1.00630484244794</v>
      </c>
      <c r="AB295" s="4">
        <f t="shared" si="284"/>
        <v>0.114488192193053</v>
      </c>
      <c r="AC295" s="67" t="str">
        <f t="shared" si="285"/>
        <v>-0,919269285603986-1,32810898870331i</v>
      </c>
      <c r="AD295" s="68">
        <f t="shared" si="286"/>
        <v>4.16462344389577</v>
      </c>
      <c r="AE295" s="31">
        <f t="shared" si="287"/>
        <v>-124.689589294272</v>
      </c>
      <c r="AF295" s="32" t="str">
        <f t="shared" si="288"/>
        <v>432,040091031901</v>
      </c>
      <c r="AG295" s="32" t="str">
        <f t="shared" si="270"/>
        <v>1+61,3895031108577i</v>
      </c>
      <c r="AH295" s="32">
        <f t="shared" si="289"/>
        <v>61.3976472855272</v>
      </c>
      <c r="AI295" s="32">
        <f t="shared" si="290"/>
        <v>1.55450833756381</v>
      </c>
      <c r="AJ295" s="32" t="str">
        <f t="shared" si="271"/>
        <v>1+0,580130804397606i</v>
      </c>
      <c r="AK295" s="32">
        <f t="shared" si="291"/>
        <v>1.15609331379911</v>
      </c>
      <c r="AL295" s="32">
        <f t="shared" si="292"/>
        <v>0.525681666173527</v>
      </c>
      <c r="AM295" s="32" t="str">
        <f t="shared" si="272"/>
        <v>1-0,171268099237411i</v>
      </c>
      <c r="AN295" s="32">
        <f t="shared" si="293"/>
        <v>1.01456037859577</v>
      </c>
      <c r="AO295" s="32">
        <f t="shared" si="294"/>
        <v>-0.169622378896085</v>
      </c>
      <c r="AP295" s="30" t="str">
        <f t="shared" si="295"/>
        <v>3,00268116780476-7,68802453490409i</v>
      </c>
      <c r="AQ295" s="32">
        <f t="shared" si="296"/>
        <v>18.332862133825</v>
      </c>
      <c r="AR295" s="31">
        <f t="shared" si="297"/>
        <v>-68.6660725428705</v>
      </c>
      <c r="AS295" t="str">
        <f t="shared" si="273"/>
        <v>-0,000201496259351621</v>
      </c>
      <c r="AT295" t="str">
        <f t="shared" si="274"/>
        <v>0,0083134816165907i</v>
      </c>
      <c r="AU295">
        <f t="shared" si="298"/>
        <v>0.0083134816165907</v>
      </c>
      <c r="AV295">
        <f t="shared" si="299"/>
        <v>1.5707963267949</v>
      </c>
      <c r="AW295" t="str">
        <f t="shared" si="275"/>
        <v>1+0,425635010333452i</v>
      </c>
      <c r="AX295">
        <f t="shared" si="300"/>
        <v>1.08681422608538</v>
      </c>
      <c r="AY295">
        <f t="shared" si="301"/>
        <v>0.402408383934472</v>
      </c>
      <c r="AZ295" t="str">
        <f t="shared" si="276"/>
        <v>1+20,3489759195589i</v>
      </c>
      <c r="BA295">
        <f t="shared" si="302"/>
        <v>20.3735323637014</v>
      </c>
      <c r="BB295">
        <f t="shared" si="303"/>
        <v>1.52169330694041</v>
      </c>
      <c r="BC295" s="30" t="str">
        <f t="shared" si="304"/>
        <v>-0,408823248206912+0,198246776813607i</v>
      </c>
      <c r="BD295" s="32">
        <f t="shared" si="305"/>
        <v>-6.85209867351618</v>
      </c>
      <c r="BE295" s="31">
        <f t="shared" si="306"/>
        <v>154.130302160865</v>
      </c>
      <c r="BF295" s="30" t="str">
        <f t="shared" si="307"/>
        <v>0,639111981585079+0,360719657839747i</v>
      </c>
      <c r="BG295" s="68">
        <f t="shared" si="308"/>
        <v>-2.68747522962041</v>
      </c>
      <c r="BH295" s="31">
        <f t="shared" si="309"/>
        <v>29.4407128665933</v>
      </c>
      <c r="BI295" s="30" t="str">
        <f t="shared" si="263"/>
        <v>0,296560215757+3,73831502597014i</v>
      </c>
      <c r="BJ295" s="68">
        <f t="shared" si="310"/>
        <v>11.4807634603088</v>
      </c>
      <c r="BK295" s="31">
        <f t="shared" si="264"/>
        <v>85.4642296179948</v>
      </c>
      <c r="BL295" s="32">
        <f t="shared" si="311"/>
        <v>-2.68747522962041</v>
      </c>
      <c r="BM295" s="31">
        <f t="shared" si="312"/>
        <v>29.4407128665933</v>
      </c>
      <c r="BO295">
        <f t="shared" si="313"/>
        <v>0</v>
      </c>
      <c r="BP295">
        <f t="shared" si="314"/>
        <v>0</v>
      </c>
    </row>
    <row r="296" spans="14:68">
      <c r="N296" s="7">
        <v>78</v>
      </c>
      <c r="O296" s="18">
        <f t="shared" si="315"/>
        <v>6025.59586074359</v>
      </c>
      <c r="P296" s="86" t="str">
        <f t="shared" si="265"/>
        <v>54,5454545454545</v>
      </c>
      <c r="Q296" s="4" t="str">
        <f t="shared" si="266"/>
        <v>1+77,0965956813335i</v>
      </c>
      <c r="R296" s="4">
        <f t="shared" si="277"/>
        <v>77.1030807792465</v>
      </c>
      <c r="S296" s="4">
        <f t="shared" si="278"/>
        <v>1.5578263127913</v>
      </c>
      <c r="T296" s="4" t="str">
        <f t="shared" si="267"/>
        <v>1+0,593643786746269i</v>
      </c>
      <c r="U296" s="4">
        <f t="shared" si="279"/>
        <v>1.16293290672439</v>
      </c>
      <c r="V296" s="4">
        <f t="shared" si="280"/>
        <v>0.535732705510616</v>
      </c>
      <c r="W296" t="str">
        <f t="shared" si="268"/>
        <v>1-1,70369709206519i</v>
      </c>
      <c r="X296" s="4">
        <f t="shared" si="281"/>
        <v>1.97549583181321</v>
      </c>
      <c r="Y296" s="4">
        <f t="shared" si="282"/>
        <v>-1.04002113542735</v>
      </c>
      <c r="Z296" t="str">
        <f t="shared" si="269"/>
        <v>0,999703609751208+0,117636227785453i</v>
      </c>
      <c r="AA296" s="4">
        <f t="shared" si="283"/>
        <v>1.00660100806486</v>
      </c>
      <c r="AB296" s="4">
        <f t="shared" si="284"/>
        <v>0.117132461763882</v>
      </c>
      <c r="AC296" s="67" t="str">
        <f t="shared" si="285"/>
        <v>-0,922890594523274-1,32482063338337i</v>
      </c>
      <c r="AD296" s="68">
        <f t="shared" si="286"/>
        <v>4.16120500414752</v>
      </c>
      <c r="AE296" s="31">
        <f t="shared" si="287"/>
        <v>-124.861667331924</v>
      </c>
      <c r="AF296" s="32" t="str">
        <f t="shared" si="288"/>
        <v>432,040091031901</v>
      </c>
      <c r="AG296" s="32" t="str">
        <f t="shared" si="270"/>
        <v>1+62,8194483329384i</v>
      </c>
      <c r="AH296" s="32">
        <f t="shared" si="289"/>
        <v>62.8274071473168</v>
      </c>
      <c r="AI296" s="32">
        <f t="shared" si="290"/>
        <v>1.55487903411394</v>
      </c>
      <c r="AJ296" s="32" t="str">
        <f t="shared" si="271"/>
        <v>1+0,593643786746269i</v>
      </c>
      <c r="AK296" s="32">
        <f t="shared" si="291"/>
        <v>1.16293290672439</v>
      </c>
      <c r="AL296" s="32">
        <f t="shared" si="292"/>
        <v>0.535732705510616</v>
      </c>
      <c r="AM296" s="32" t="str">
        <f t="shared" si="272"/>
        <v>1-0,175257445750888i</v>
      </c>
      <c r="AN296" s="32">
        <f t="shared" si="293"/>
        <v>1.015241435468</v>
      </c>
      <c r="AO296" s="32">
        <f t="shared" si="294"/>
        <v>-0.173495451283876</v>
      </c>
      <c r="AP296" s="30" t="str">
        <f t="shared" si="295"/>
        <v>2,99755867982219-7,54530976189344i</v>
      </c>
      <c r="AQ296" s="32">
        <f t="shared" si="296"/>
        <v>18.1899781208002</v>
      </c>
      <c r="AR296" s="31">
        <f t="shared" si="297"/>
        <v>-68.3333404585074</v>
      </c>
      <c r="AS296" t="str">
        <f t="shared" si="273"/>
        <v>-0,000201496259351621</v>
      </c>
      <c r="AT296" t="str">
        <f t="shared" si="274"/>
        <v>0,00850712747971214i</v>
      </c>
      <c r="AU296">
        <f t="shared" si="298"/>
        <v>0.00850712747971214</v>
      </c>
      <c r="AV296">
        <f t="shared" si="299"/>
        <v>1.5707963267949</v>
      </c>
      <c r="AW296" t="str">
        <f t="shared" si="275"/>
        <v>1+0,435549323343569i</v>
      </c>
      <c r="AX296">
        <f t="shared" si="300"/>
        <v>1.09073517091228</v>
      </c>
      <c r="AY296">
        <f t="shared" si="301"/>
        <v>0.410771980150394</v>
      </c>
      <c r="AZ296" t="str">
        <f t="shared" si="276"/>
        <v>1+20,8229644585744i</v>
      </c>
      <c r="BA296">
        <f t="shared" si="302"/>
        <v>20.8469625807467</v>
      </c>
      <c r="BB296">
        <f t="shared" si="303"/>
        <v>1.52280929310474</v>
      </c>
      <c r="BC296" s="30" t="str">
        <f t="shared" si="304"/>
        <v>-0,40588927801786+0,200470381669747i</v>
      </c>
      <c r="BD296" s="32">
        <f t="shared" si="305"/>
        <v>-6.88384966018286</v>
      </c>
      <c r="BE296" s="31">
        <f t="shared" si="306"/>
        <v>153.715044693353</v>
      </c>
      <c r="BF296" s="30" t="str">
        <f t="shared" si="307"/>
        <v>0,640178695118846+0,35271826066364i</v>
      </c>
      <c r="BG296" s="68">
        <f t="shared" si="308"/>
        <v>-2.72264465603533</v>
      </c>
      <c r="BH296" s="31">
        <f t="shared" si="309"/>
        <v>28.8533773614284</v>
      </c>
      <c r="BI296" s="30" t="str">
        <f t="shared" si="263"/>
        <v>0,295934199414048+3,66348206429746i</v>
      </c>
      <c r="BJ296" s="68">
        <f t="shared" si="310"/>
        <v>11.3061284606173</v>
      </c>
      <c r="BK296" s="31">
        <f t="shared" si="264"/>
        <v>85.3817042348452</v>
      </c>
      <c r="BL296" s="32">
        <f t="shared" si="311"/>
        <v>-2.72264465603533</v>
      </c>
      <c r="BM296" s="31">
        <f t="shared" si="312"/>
        <v>28.8533773614284</v>
      </c>
      <c r="BO296">
        <f t="shared" si="313"/>
        <v>0</v>
      </c>
      <c r="BP296">
        <f t="shared" si="314"/>
        <v>0</v>
      </c>
    </row>
    <row r="297" spans="14:68">
      <c r="N297" s="7">
        <v>79</v>
      </c>
      <c r="O297" s="18">
        <f t="shared" si="315"/>
        <v>6165.95001861483</v>
      </c>
      <c r="P297" s="86" t="str">
        <f t="shared" si="265"/>
        <v>54,5454545454545</v>
      </c>
      <c r="Q297" s="4" t="str">
        <f t="shared" si="266"/>
        <v>1+78,8924060894111i</v>
      </c>
      <c r="R297" s="4">
        <f t="shared" si="277"/>
        <v>78.8987435804687</v>
      </c>
      <c r="S297" s="4">
        <f t="shared" si="278"/>
        <v>1.55812151436741</v>
      </c>
      <c r="T297" s="4" t="str">
        <f t="shared" si="267"/>
        <v>1+0,607471526888466i</v>
      </c>
      <c r="U297" s="4">
        <f t="shared" si="279"/>
        <v>1.17005198858008</v>
      </c>
      <c r="V297" s="4">
        <f t="shared" si="280"/>
        <v>0.545895165907186</v>
      </c>
      <c r="W297" t="str">
        <f t="shared" si="268"/>
        <v>1-1,7433812952794i</v>
      </c>
      <c r="X297" s="4">
        <f t="shared" si="281"/>
        <v>2.00982047475143</v>
      </c>
      <c r="Y297" s="4">
        <f t="shared" si="282"/>
        <v>-1.05001633597299</v>
      </c>
      <c r="Z297" t="str">
        <f t="shared" si="269"/>
        <v>0,999689641309126+0,120376327531197i</v>
      </c>
      <c r="AA297" s="4">
        <f t="shared" si="283"/>
        <v>1.00691103835973</v>
      </c>
      <c r="AB297" s="4">
        <f t="shared" si="284"/>
        <v>0.119836732308908</v>
      </c>
      <c r="AC297" s="67" t="str">
        <f t="shared" si="285"/>
        <v>-0,92663810342006-1,32220013454197i</v>
      </c>
      <c r="AD297" s="68">
        <f t="shared" si="286"/>
        <v>4.16119602528741</v>
      </c>
      <c r="AE297" s="31">
        <f t="shared" si="287"/>
        <v>-125.023941141692</v>
      </c>
      <c r="AF297" s="32" t="str">
        <f t="shared" si="288"/>
        <v>432,040091031901</v>
      </c>
      <c r="AG297" s="32" t="str">
        <f t="shared" si="270"/>
        <v>1+64,2827012580387i</v>
      </c>
      <c r="AH297" s="32">
        <f t="shared" si="289"/>
        <v>64.2904789298559</v>
      </c>
      <c r="AI297" s="32">
        <f t="shared" si="290"/>
        <v>1.55524129680791</v>
      </c>
      <c r="AJ297" s="32" t="str">
        <f t="shared" si="271"/>
        <v>1+0,607471526888466i</v>
      </c>
      <c r="AK297" s="32">
        <f t="shared" si="291"/>
        <v>1.17005198858008</v>
      </c>
      <c r="AL297" s="32">
        <f t="shared" si="292"/>
        <v>0.545895165907186</v>
      </c>
      <c r="AM297" s="32" t="str">
        <f t="shared" si="272"/>
        <v>1-0,179339716081908i</v>
      </c>
      <c r="AN297" s="32">
        <f t="shared" si="293"/>
        <v>1.01595410022517</v>
      </c>
      <c r="AO297" s="32">
        <f t="shared" si="294"/>
        <v>-0.177453302576947</v>
      </c>
      <c r="AP297" s="30" t="str">
        <f t="shared" si="295"/>
        <v>2,99266662758983-7,40658827174139i</v>
      </c>
      <c r="AQ297" s="32">
        <f t="shared" si="296"/>
        <v>18.0491326867742</v>
      </c>
      <c r="AR297" s="31">
        <f t="shared" si="297"/>
        <v>-67.9985986667879</v>
      </c>
      <c r="AS297" t="str">
        <f t="shared" si="273"/>
        <v>-0,000201496259351621</v>
      </c>
      <c r="AT297" t="str">
        <f t="shared" si="274"/>
        <v>0,00870528393442846i</v>
      </c>
      <c r="AU297">
        <f t="shared" si="298"/>
        <v>0.00870528393442846</v>
      </c>
      <c r="AV297">
        <f t="shared" si="299"/>
        <v>1.5707963267949</v>
      </c>
      <c r="AW297" t="str">
        <f t="shared" si="275"/>
        <v>1+0,445694570370098i</v>
      </c>
      <c r="AX297">
        <f t="shared" si="300"/>
        <v>1.09482585375821</v>
      </c>
      <c r="AY297">
        <f t="shared" si="301"/>
        <v>0.419267764671181</v>
      </c>
      <c r="AZ297" t="str">
        <f t="shared" si="276"/>
        <v>1+21,3079936089704i</v>
      </c>
      <c r="BA297">
        <f t="shared" si="302"/>
        <v>21.331446074749</v>
      </c>
      <c r="BB297">
        <f t="shared" si="303"/>
        <v>1.52389999192217</v>
      </c>
      <c r="BC297" s="30" t="str">
        <f t="shared" si="304"/>
        <v>-0,402861833192358+0,202699763286704i</v>
      </c>
      <c r="BD297" s="32">
        <f t="shared" si="305"/>
        <v>-6.91681399059699</v>
      </c>
      <c r="BE297" s="31">
        <f t="shared" si="306"/>
        <v>153.290764535618</v>
      </c>
      <c r="BF297" s="30" t="str">
        <f t="shared" si="307"/>
        <v>0,641316779339001+0,344834645833074i</v>
      </c>
      <c r="BG297" s="68">
        <f t="shared" si="308"/>
        <v>-2.75561796530958</v>
      </c>
      <c r="BH297" s="31">
        <f t="shared" si="309"/>
        <v>28.2668233939259</v>
      </c>
      <c r="BI297" s="30" t="str">
        <f t="shared" si="263"/>
        <v>0,295682525719627+3,59044454586323i</v>
      </c>
      <c r="BJ297" s="68">
        <f t="shared" si="310"/>
        <v>11.1323186961773</v>
      </c>
      <c r="BK297" s="31">
        <f t="shared" si="264"/>
        <v>85.2921658688298</v>
      </c>
      <c r="BL297" s="32">
        <f t="shared" si="311"/>
        <v>-2.75561796530958</v>
      </c>
      <c r="BM297" s="31">
        <f t="shared" si="312"/>
        <v>28.2668233939259</v>
      </c>
      <c r="BO297">
        <f t="shared" si="313"/>
        <v>0</v>
      </c>
      <c r="BP297">
        <f t="shared" si="314"/>
        <v>0</v>
      </c>
    </row>
    <row r="298" spans="14:68">
      <c r="N298" s="7">
        <v>80</v>
      </c>
      <c r="O298" s="18">
        <f t="shared" si="315"/>
        <v>6309.57344480194</v>
      </c>
      <c r="P298" s="86" t="str">
        <f t="shared" si="265"/>
        <v>54,5454545454545</v>
      </c>
      <c r="Q298" s="4" t="str">
        <f t="shared" si="266"/>
        <v>1+80,7300462954617i</v>
      </c>
      <c r="R298" s="4">
        <f t="shared" si="277"/>
        <v>80.7362395388056</v>
      </c>
      <c r="S298" s="4">
        <f t="shared" si="278"/>
        <v>1.55840999846999</v>
      </c>
      <c r="T298" s="4" t="str">
        <f t="shared" si="267"/>
        <v>1+0,621621356475056i</v>
      </c>
      <c r="U298" s="4">
        <f t="shared" si="279"/>
        <v>1.17746044979264</v>
      </c>
      <c r="V298" s="4">
        <f t="shared" si="280"/>
        <v>0.55616603887404</v>
      </c>
      <c r="W298" t="str">
        <f t="shared" si="268"/>
        <v>1-1,78398986233275i</v>
      </c>
      <c r="X298" s="4">
        <f t="shared" si="281"/>
        <v>2.04514542976924</v>
      </c>
      <c r="Y298" s="4">
        <f t="shared" si="282"/>
        <v>-1.05989602483736</v>
      </c>
      <c r="Z298" t="str">
        <f t="shared" si="269"/>
        <v>0,99967501455465+0,123180252399166i</v>
      </c>
      <c r="AA298" s="4">
        <f t="shared" si="283"/>
        <v>1.0072355778595</v>
      </c>
      <c r="AB298" s="4">
        <f t="shared" si="284"/>
        <v>0.122602289673416</v>
      </c>
      <c r="AC298" s="67" t="str">
        <f t="shared" si="285"/>
        <v>-0,930519200971308-1,32024376784071i</v>
      </c>
      <c r="AD298" s="68">
        <f t="shared" si="286"/>
        <v>4.16459029162114</v>
      </c>
      <c r="AE298" s="31">
        <f t="shared" si="287"/>
        <v>-125.176511630129</v>
      </c>
      <c r="AF298" s="32" t="str">
        <f t="shared" si="288"/>
        <v>432,040091031901</v>
      </c>
      <c r="AG298" s="32" t="str">
        <f t="shared" si="270"/>
        <v>1+65,7800377222281i</v>
      </c>
      <c r="AH298" s="32">
        <f t="shared" si="289"/>
        <v>65.7876383733126</v>
      </c>
      <c r="AI298" s="32">
        <f t="shared" si="290"/>
        <v>1.55559531734165</v>
      </c>
      <c r="AJ298" s="32" t="str">
        <f t="shared" si="271"/>
        <v>1+0,621621356475056i</v>
      </c>
      <c r="AK298" s="32">
        <f t="shared" si="291"/>
        <v>1.17746044979264</v>
      </c>
      <c r="AL298" s="32">
        <f t="shared" si="292"/>
        <v>0.55616603887404</v>
      </c>
      <c r="AM298" s="32" t="str">
        <f t="shared" si="272"/>
        <v>1-0,183517074704236i</v>
      </c>
      <c r="AN298" s="32">
        <f t="shared" si="293"/>
        <v>1.01669981641977</v>
      </c>
      <c r="AO298" s="32">
        <f t="shared" si="294"/>
        <v>-0.181497535049534</v>
      </c>
      <c r="AP298" s="30" t="str">
        <f t="shared" si="295"/>
        <v>2,98799464983412-7,27178700217338i</v>
      </c>
      <c r="AQ298" s="32">
        <f t="shared" si="296"/>
        <v>17.9103765181453</v>
      </c>
      <c r="AR298" s="31">
        <f t="shared" si="297"/>
        <v>-67.6621223283651</v>
      </c>
      <c r="AS298" t="str">
        <f t="shared" si="273"/>
        <v>-0,000201496259351621</v>
      </c>
      <c r="AT298" t="str">
        <f t="shared" si="274"/>
        <v>0,00890805604591487i</v>
      </c>
      <c r="AU298">
        <f t="shared" si="298"/>
        <v>0.00890805604591487</v>
      </c>
      <c r="AV298">
        <f t="shared" si="299"/>
        <v>1.5707963267949</v>
      </c>
      <c r="AW298" t="str">
        <f t="shared" si="275"/>
        <v>1+0,456076130557302i</v>
      </c>
      <c r="AX298">
        <f t="shared" si="300"/>
        <v>1.09909300646675</v>
      </c>
      <c r="AY298">
        <f t="shared" si="301"/>
        <v>0.427895335333278</v>
      </c>
      <c r="AZ298" t="str">
        <f t="shared" si="276"/>
        <v>1+21,8043205396225i</v>
      </c>
      <c r="BA298">
        <f t="shared" si="302"/>
        <v>21.8272397291688</v>
      </c>
      <c r="BB298">
        <f t="shared" si="303"/>
        <v>1.52496597130959</v>
      </c>
      <c r="BC298" s="30" t="str">
        <f t="shared" si="304"/>
        <v>-0,39973973913564+0,204931307969786i</v>
      </c>
      <c r="BD298" s="32">
        <f t="shared" si="305"/>
        <v>-6.95103157483808</v>
      </c>
      <c r="BE298" s="31">
        <f t="shared" si="306"/>
        <v>152.857517269176</v>
      </c>
      <c r="BF298" s="30" t="str">
        <f t="shared" si="307"/>
        <v>0,64252478483953+0,337061382406049i</v>
      </c>
      <c r="BG298" s="68">
        <f t="shared" si="308"/>
        <v>-2.78644128321694</v>
      </c>
      <c r="BH298" s="31">
        <f t="shared" si="309"/>
        <v>27.681005639047</v>
      </c>
      <c r="BI298" s="30" t="str">
        <f t="shared" si="263"/>
        <v>0,295796619769701+3,51915589109595i</v>
      </c>
      <c r="BJ298" s="68">
        <f t="shared" si="310"/>
        <v>10.9593449433072</v>
      </c>
      <c r="BK298" s="31">
        <f t="shared" si="264"/>
        <v>85.1953949408108</v>
      </c>
      <c r="BL298" s="32">
        <f t="shared" si="311"/>
        <v>-2.78644128321694</v>
      </c>
      <c r="BM298" s="31">
        <f t="shared" si="312"/>
        <v>27.681005639047</v>
      </c>
      <c r="BO298">
        <f t="shared" si="313"/>
        <v>0</v>
      </c>
      <c r="BP298">
        <f t="shared" si="314"/>
        <v>0</v>
      </c>
    </row>
    <row r="299" spans="14:68">
      <c r="N299" s="7">
        <v>81</v>
      </c>
      <c r="O299" s="18">
        <f t="shared" si="315"/>
        <v>6456.54229034656</v>
      </c>
      <c r="P299" s="86" t="str">
        <f t="shared" si="265"/>
        <v>54,5454545454545</v>
      </c>
      <c r="Q299" s="4" t="str">
        <f t="shared" si="266"/>
        <v>1+82,6104906406468i</v>
      </c>
      <c r="R299" s="4">
        <f t="shared" si="277"/>
        <v>82.6165429190086</v>
      </c>
      <c r="S299" s="4">
        <f t="shared" si="278"/>
        <v>1.55869191786495</v>
      </c>
      <c r="T299" s="4" t="str">
        <f t="shared" si="267"/>
        <v>1+0,636100777932981i</v>
      </c>
      <c r="U299" s="4">
        <f t="shared" si="279"/>
        <v>1.18516842671704</v>
      </c>
      <c r="V299" s="4">
        <f t="shared" si="280"/>
        <v>0.56654210189423</v>
      </c>
      <c r="W299" t="str">
        <f t="shared" si="268"/>
        <v>1-1,82554432442501i</v>
      </c>
      <c r="X299" s="4">
        <f t="shared" si="281"/>
        <v>2.08149275291565</v>
      </c>
      <c r="Y299" s="4">
        <f t="shared" si="282"/>
        <v>-1.06965772498337</v>
      </c>
      <c r="Z299" t="str">
        <f t="shared" si="269"/>
        <v>0,999659698462473+0,126049489067441i</v>
      </c>
      <c r="AA299" s="4">
        <f t="shared" si="283"/>
        <v>1.00757530062236</v>
      </c>
      <c r="AB299" s="4">
        <f t="shared" si="284"/>
        <v>0.1254304419129</v>
      </c>
      <c r="AC299" s="67" t="str">
        <f t="shared" si="285"/>
        <v>-0,934541506864507-1,31894799738514i</v>
      </c>
      <c r="AD299" s="68">
        <f t="shared" si="286"/>
        <v>4.17138021554877</v>
      </c>
      <c r="AE299" s="31">
        <f t="shared" si="287"/>
        <v>-125.319505208986</v>
      </c>
      <c r="AF299" s="32" t="str">
        <f t="shared" si="288"/>
        <v>432,040091031901</v>
      </c>
      <c r="AG299" s="32" t="str">
        <f t="shared" si="270"/>
        <v>1+67,3122516331196i</v>
      </c>
      <c r="AH299" s="32">
        <f t="shared" si="289"/>
        <v>67.3196792915743</v>
      </c>
      <c r="AI299" s="32">
        <f t="shared" si="290"/>
        <v>1.55594128306636</v>
      </c>
      <c r="AJ299" s="32" t="str">
        <f t="shared" si="271"/>
        <v>1+0,636100777932981i</v>
      </c>
      <c r="AK299" s="32">
        <f t="shared" si="291"/>
        <v>1.18516842671704</v>
      </c>
      <c r="AL299" s="32">
        <f t="shared" si="292"/>
        <v>0.56654210189423</v>
      </c>
      <c r="AM299" s="32" t="str">
        <f t="shared" si="272"/>
        <v>1-0,187791736508708i</v>
      </c>
      <c r="AN299" s="32">
        <f t="shared" si="293"/>
        <v>1.01748009135361</v>
      </c>
      <c r="AO299" s="32">
        <f t="shared" si="294"/>
        <v>-0.185629763572741</v>
      </c>
      <c r="AP299" s="30" t="str">
        <f t="shared" si="295"/>
        <v>2,98353285073236-7,14083493680806i</v>
      </c>
      <c r="AQ299" s="32">
        <f t="shared" si="296"/>
        <v>17.7737600816686</v>
      </c>
      <c r="AR299" s="31">
        <f t="shared" si="297"/>
        <v>-67.3241993395918</v>
      </c>
      <c r="AS299" t="str">
        <f t="shared" si="273"/>
        <v>-0,000201496259351621</v>
      </c>
      <c r="AT299" t="str">
        <f t="shared" si="274"/>
        <v>0,00911555132662889i</v>
      </c>
      <c r="AU299">
        <f t="shared" si="298"/>
        <v>0.00911555132662889</v>
      </c>
      <c r="AV299">
        <f t="shared" si="299"/>
        <v>1.5707963267949</v>
      </c>
      <c r="AW299" t="str">
        <f t="shared" si="275"/>
        <v>1+0,466699508345809i</v>
      </c>
      <c r="AX299">
        <f t="shared" si="300"/>
        <v>1.10354357915318</v>
      </c>
      <c r="AY299">
        <f t="shared" si="301"/>
        <v>0.436654128006274</v>
      </c>
      <c r="AZ299" t="str">
        <f t="shared" si="276"/>
        <v>1+22,312208409639i</v>
      </c>
      <c r="BA299">
        <f t="shared" si="302"/>
        <v>22.3346064240041</v>
      </c>
      <c r="BB299">
        <f t="shared" si="303"/>
        <v>1.52600778676759</v>
      </c>
      <c r="BC299" s="30" t="str">
        <f t="shared" si="304"/>
        <v>-0,396521953600044+0,207161271386778i</v>
      </c>
      <c r="BD299" s="32">
        <f t="shared" si="305"/>
        <v>-6.98654274019022</v>
      </c>
      <c r="BE299" s="31">
        <f t="shared" si="306"/>
        <v>152.415367044158</v>
      </c>
      <c r="BF299" s="30" t="str">
        <f t="shared" si="307"/>
        <v>0,643801168053594+0,329391029894255i</v>
      </c>
      <c r="BG299" s="68">
        <f t="shared" si="308"/>
        <v>-2.81516252464145</v>
      </c>
      <c r="BH299" s="31">
        <f t="shared" si="309"/>
        <v>27.0958618351718</v>
      </c>
      <c r="BI299" s="30" t="str">
        <f t="shared" si="263"/>
        <v>0,296268169669977+3,44957027806051i</v>
      </c>
      <c r="BJ299" s="68">
        <f t="shared" si="310"/>
        <v>10.7872173414784</v>
      </c>
      <c r="BK299" s="31">
        <f t="shared" si="264"/>
        <v>85.0911677045661</v>
      </c>
      <c r="BL299" s="32">
        <f t="shared" si="311"/>
        <v>-2.81516252464145</v>
      </c>
      <c r="BM299" s="31">
        <f t="shared" si="312"/>
        <v>27.0958618351718</v>
      </c>
      <c r="BO299">
        <f t="shared" si="313"/>
        <v>0</v>
      </c>
      <c r="BP299">
        <f t="shared" si="314"/>
        <v>0</v>
      </c>
    </row>
    <row r="300" spans="14:68">
      <c r="N300" s="7">
        <v>82</v>
      </c>
      <c r="O300" s="18">
        <f t="shared" si="315"/>
        <v>6606.93448007597</v>
      </c>
      <c r="P300" s="86" t="str">
        <f t="shared" si="265"/>
        <v>54,5454545454545</v>
      </c>
      <c r="Q300" s="4" t="str">
        <f t="shared" si="266"/>
        <v>1+84,5347361614488i</v>
      </c>
      <c r="R300" s="4">
        <f t="shared" si="277"/>
        <v>84.5406506828861</v>
      </c>
      <c r="S300" s="4">
        <f t="shared" si="278"/>
        <v>1.55896742185033</v>
      </c>
      <c r="T300" s="4" t="str">
        <f t="shared" si="267"/>
        <v>1+0,650917468443157i</v>
      </c>
      <c r="U300" s="4">
        <f t="shared" si="279"/>
        <v>1.19318630176702</v>
      </c>
      <c r="V300" s="4">
        <f t="shared" si="280"/>
        <v>0.577019919253472</v>
      </c>
      <c r="W300" t="str">
        <f t="shared" si="268"/>
        <v>1-1,86806671428202i</v>
      </c>
      <c r="X300" s="4">
        <f t="shared" si="281"/>
        <v>2.11888490697546</v>
      </c>
      <c r="Y300" s="4">
        <f t="shared" si="282"/>
        <v>-1.07929916986446</v>
      </c>
      <c r="Z300" t="str">
        <f t="shared" si="269"/>
        <v>0,99964366054511+0,128985558843282i</v>
      </c>
      <c r="AA300" s="4">
        <f t="shared" si="283"/>
        <v>1.00793091155006</v>
      </c>
      <c r="AB300" s="4">
        <f t="shared" si="284"/>
        <v>0.128322519286729</v>
      </c>
      <c r="AC300" s="67" t="str">
        <f t="shared" si="285"/>
        <v>-0,938712883118498-1,31830946340632i</v>
      </c>
      <c r="AD300" s="68">
        <f t="shared" si="286"/>
        <v>4.18155681827806</v>
      </c>
      <c r="AE300" s="31">
        <f t="shared" si="287"/>
        <v>-125.453073639034</v>
      </c>
      <c r="AF300" s="32" t="str">
        <f t="shared" si="288"/>
        <v>432,040091031901</v>
      </c>
      <c r="AG300" s="32" t="str">
        <f t="shared" si="270"/>
        <v>1+68,8801553908101i</v>
      </c>
      <c r="AH300" s="32">
        <f t="shared" si="289"/>
        <v>68.8874139931392</v>
      </c>
      <c r="AI300" s="32">
        <f t="shared" si="290"/>
        <v>1.55627937708618</v>
      </c>
      <c r="AJ300" s="32" t="str">
        <f t="shared" si="271"/>
        <v>1+0,650917468443157i</v>
      </c>
      <c r="AK300" s="32">
        <f t="shared" si="291"/>
        <v>1.19318630176702</v>
      </c>
      <c r="AL300" s="32">
        <f t="shared" si="292"/>
        <v>0.577019919253472</v>
      </c>
      <c r="AM300" s="32" t="str">
        <f t="shared" si="272"/>
        <v>1-0,192165967977595i</v>
      </c>
      <c r="AN300" s="32">
        <f t="shared" si="293"/>
        <v>1.01829649869219</v>
      </c>
      <c r="AO300" s="32">
        <f t="shared" si="294"/>
        <v>-0.189851614360021</v>
      </c>
      <c r="AP300" s="30" t="str">
        <f t="shared" si="295"/>
        <v>2,97927177904164-7,01366306968065i</v>
      </c>
      <c r="AQ300" s="32">
        <f t="shared" si="296"/>
        <v>17.6393335289359</v>
      </c>
      <c r="AR300" s="31">
        <f t="shared" si="297"/>
        <v>-66.985130218658</v>
      </c>
      <c r="AS300" t="str">
        <f t="shared" si="273"/>
        <v>-0,000201496259351621</v>
      </c>
      <c r="AT300" t="str">
        <f t="shared" si="274"/>
        <v>0,00932787979331488i</v>
      </c>
      <c r="AU300">
        <f t="shared" si="298"/>
        <v>0.00932787979331488</v>
      </c>
      <c r="AV300">
        <f t="shared" si="299"/>
        <v>1.5707963267949</v>
      </c>
      <c r="AW300" t="str">
        <f t="shared" si="275"/>
        <v>1+0,47757033639114i</v>
      </c>
      <c r="AX300">
        <f t="shared" si="300"/>
        <v>1.10818474371413</v>
      </c>
      <c r="AY300">
        <f t="shared" si="301"/>
        <v>0.44554341014493</v>
      </c>
      <c r="AZ300" t="str">
        <f t="shared" si="276"/>
        <v>1+22,8319265078913i</v>
      </c>
      <c r="BA300">
        <f t="shared" si="302"/>
        <v>22.8538151751901</v>
      </c>
      <c r="BB300">
        <f t="shared" si="303"/>
        <v>1.52702598162923</v>
      </c>
      <c r="BC300" s="30" t="str">
        <f t="shared" si="304"/>
        <v>-0,393207578556921+0,209385782423732i</v>
      </c>
      <c r="BD300" s="32">
        <f t="shared" si="305"/>
        <v>-7.02338817574432</v>
      </c>
      <c r="BE300" s="31">
        <f t="shared" si="306"/>
        <v>151.964386963006</v>
      </c>
      <c r="BF300" s="30" t="str">
        <f t="shared" si="307"/>
        <v>0,645144278203153+0,321816140391669i</v>
      </c>
      <c r="BG300" s="68">
        <f t="shared" si="308"/>
        <v>-2.84183135746626</v>
      </c>
      <c r="BH300" s="31">
        <f t="shared" si="309"/>
        <v>26.511313323972</v>
      </c>
      <c r="BI300" s="30" t="str">
        <f t="shared" si="263"/>
        <v>0,297089087401583+3,38164262495081i</v>
      </c>
      <c r="BJ300" s="68">
        <f t="shared" si="310"/>
        <v>10.6159453531916</v>
      </c>
      <c r="BK300" s="31">
        <f t="shared" si="264"/>
        <v>84.979256744348</v>
      </c>
      <c r="BL300" s="32">
        <f t="shared" si="311"/>
        <v>-2.84183135746626</v>
      </c>
      <c r="BM300" s="31">
        <f t="shared" si="312"/>
        <v>26.511313323972</v>
      </c>
      <c r="BO300">
        <f t="shared" si="313"/>
        <v>0</v>
      </c>
      <c r="BP300">
        <f t="shared" si="314"/>
        <v>0</v>
      </c>
    </row>
    <row r="301" spans="14:68">
      <c r="N301" s="7">
        <v>83</v>
      </c>
      <c r="O301" s="18">
        <f t="shared" si="315"/>
        <v>6760.82975391982</v>
      </c>
      <c r="P301" s="86" t="str">
        <f t="shared" si="265"/>
        <v>54,5454545454545</v>
      </c>
      <c r="Q301" s="4" t="str">
        <f t="shared" si="266"/>
        <v>1+86,503803118313i</v>
      </c>
      <c r="R301" s="4">
        <f t="shared" si="277"/>
        <v>86.5095830179054</v>
      </c>
      <c r="S301" s="4">
        <f t="shared" si="278"/>
        <v>1.55923665633461</v>
      </c>
      <c r="T301" s="4" t="str">
        <f t="shared" si="267"/>
        <v>1+0,666079284011011i</v>
      </c>
      <c r="U301" s="4">
        <f t="shared" si="279"/>
        <v>1.20152470327856</v>
      </c>
      <c r="V301" s="4">
        <f t="shared" si="280"/>
        <v>0.587595843766707</v>
      </c>
      <c r="W301" t="str">
        <f t="shared" si="268"/>
        <v>1-1,91157957783772i</v>
      </c>
      <c r="X301" s="4">
        <f t="shared" si="281"/>
        <v>2.15734477597027</v>
      </c>
      <c r="Y301" s="4">
        <f t="shared" si="282"/>
        <v>-1.08881830076324</v>
      </c>
      <c r="Z301" t="str">
        <f t="shared" si="269"/>
        <v>0,999626866783988+0,131990018469748i</v>
      </c>
      <c r="AA301" s="4">
        <f t="shared" si="283"/>
        <v>1.00830314775469</v>
      </c>
      <c r="AB301" s="4">
        <f t="shared" si="284"/>
        <v>0.131279874217745</v>
      </c>
      <c r="AC301" s="67" t="str">
        <f t="shared" si="285"/>
        <v>-0,943041445484353-1,31832496937776i</v>
      </c>
      <c r="AD301" s="68">
        <f t="shared" si="286"/>
        <v>4.19510970503105</v>
      </c>
      <c r="AE301" s="31">
        <f t="shared" si="287"/>
        <v>-125.577393780827</v>
      </c>
      <c r="AF301" s="32" t="str">
        <f t="shared" si="288"/>
        <v>432,040091031901</v>
      </c>
      <c r="AG301" s="32" t="str">
        <f t="shared" si="270"/>
        <v>1+70,4845803186254i</v>
      </c>
      <c r="AH301" s="32">
        <f t="shared" si="289"/>
        <v>70.4916737118133</v>
      </c>
      <c r="AI301" s="32">
        <f t="shared" si="290"/>
        <v>1.5566097783537</v>
      </c>
      <c r="AJ301" s="32" t="str">
        <f t="shared" si="271"/>
        <v>1+0,666079284011011i</v>
      </c>
      <c r="AK301" s="32">
        <f t="shared" si="291"/>
        <v>1.20152470327856</v>
      </c>
      <c r="AL301" s="32">
        <f t="shared" si="292"/>
        <v>0.587595843766707</v>
      </c>
      <c r="AM301" s="32" t="str">
        <f t="shared" si="272"/>
        <v>1-0,196642088386321i</v>
      </c>
      <c r="AN301" s="32">
        <f t="shared" si="293"/>
        <v>1.01915068116787</v>
      </c>
      <c r="AO301" s="32">
        <f t="shared" si="294"/>
        <v>-0.194164723597426</v>
      </c>
      <c r="AP301" s="30" t="str">
        <f t="shared" si="295"/>
        <v>2,97520240816024-6,89020437068717i</v>
      </c>
      <c r="AQ301" s="32">
        <f t="shared" si="296"/>
        <v>17.5071465995722</v>
      </c>
      <c r="AR301" s="31">
        <f t="shared" si="297"/>
        <v>-66.6452279336574</v>
      </c>
      <c r="AS301" t="str">
        <f t="shared" si="273"/>
        <v>-0,000201496259351621</v>
      </c>
      <c r="AT301" t="str">
        <f t="shared" si="274"/>
        <v>0,00954515402533636i</v>
      </c>
      <c r="AU301">
        <f t="shared" si="298"/>
        <v>0.00954515402533636</v>
      </c>
      <c r="AV301">
        <f t="shared" si="299"/>
        <v>1.5707963267949</v>
      </c>
      <c r="AW301" t="str">
        <f t="shared" si="275"/>
        <v>1+0,488694378550216i</v>
      </c>
      <c r="AX301">
        <f t="shared" si="300"/>
        <v>1.11302389714982</v>
      </c>
      <c r="AY301">
        <f t="shared" si="301"/>
        <v>0.454562274555776</v>
      </c>
      <c r="AZ301" t="str">
        <f t="shared" si="276"/>
        <v>1+23,3637503957944i</v>
      </c>
      <c r="BA301">
        <f t="shared" si="302"/>
        <v>23.3851412772509</v>
      </c>
      <c r="BB301">
        <f t="shared" si="303"/>
        <v>1.52802108730544</v>
      </c>
      <c r="BC301" s="30" t="str">
        <f t="shared" si="304"/>
        <v>-0,389795872168935+0,211600848044102i</v>
      </c>
      <c r="BD301" s="32">
        <f t="shared" si="305"/>
        <v>-7.06160887197852</v>
      </c>
      <c r="BE301" s="31">
        <f t="shared" si="306"/>
        <v>151.50465945168</v>
      </c>
      <c r="BF301" s="30" t="str">
        <f t="shared" si="307"/>
        <v>0,646552344252075+0,314329261635464i</v>
      </c>
      <c r="BG301" s="68">
        <f t="shared" si="308"/>
        <v>-2.86649916694748</v>
      </c>
      <c r="BH301" s="31">
        <f t="shared" si="309"/>
        <v>25.9272656708531</v>
      </c>
      <c r="BI301" s="30" t="str">
        <f t="shared" si="263"/>
        <v>0,298251470466647+3,31532857476377i</v>
      </c>
      <c r="BJ301" s="68">
        <f t="shared" si="310"/>
        <v>10.4455377275937</v>
      </c>
      <c r="BK301" s="31">
        <f t="shared" si="264"/>
        <v>84.8594315180226</v>
      </c>
      <c r="BL301" s="32">
        <f t="shared" si="311"/>
        <v>-2.86649916694748</v>
      </c>
      <c r="BM301" s="31">
        <f t="shared" si="312"/>
        <v>25.9272656708531</v>
      </c>
      <c r="BO301">
        <f t="shared" si="313"/>
        <v>0</v>
      </c>
      <c r="BP301">
        <f t="shared" si="314"/>
        <v>0</v>
      </c>
    </row>
    <row r="302" spans="14:68">
      <c r="N302" s="7">
        <v>84</v>
      </c>
      <c r="O302" s="18">
        <f t="shared" si="315"/>
        <v>6918.30970918937</v>
      </c>
      <c r="P302" s="86" t="str">
        <f t="shared" si="265"/>
        <v>54,5454545454545</v>
      </c>
      <c r="Q302" s="4" t="str">
        <f t="shared" si="266"/>
        <v>1+88,5187355366037i</v>
      </c>
      <c r="R302" s="4">
        <f t="shared" si="277"/>
        <v>88.5243838781112</v>
      </c>
      <c r="S302" s="4">
        <f t="shared" si="278"/>
        <v>1.55949976391324</v>
      </c>
      <c r="T302" s="4" t="str">
        <f t="shared" si="267"/>
        <v>1+0,681594263631849i</v>
      </c>
      <c r="U302" s="4">
        <f t="shared" si="279"/>
        <v>1.21019450511719</v>
      </c>
      <c r="V302" s="4">
        <f t="shared" si="280"/>
        <v>0.598266019433879</v>
      </c>
      <c r="W302" t="str">
        <f t="shared" si="268"/>
        <v>1-1,95610598618834i</v>
      </c>
      <c r="X302" s="4">
        <f t="shared" si="281"/>
        <v>2.19689568009085</v>
      </c>
      <c r="Y302" s="4">
        <f t="shared" si="282"/>
        <v>-1.09821326349123</v>
      </c>
      <c r="Z302" t="str">
        <f t="shared" si="269"/>
        <v>0,999609281557288+0,1350644609511i</v>
      </c>
      <c r="AA302" s="4">
        <f t="shared" si="283"/>
        <v>1.00869277998184</v>
      </c>
      <c r="AB302" s="4">
        <f t="shared" si="284"/>
        <v>0.134303881214972</v>
      </c>
      <c r="AC302" s="67" t="str">
        <f t="shared" si="285"/>
        <v>-0,94753557491312-1,31899146852804i</v>
      </c>
      <c r="AD302" s="68">
        <f t="shared" si="286"/>
        <v>4.21202703501757</v>
      </c>
      <c r="AE302" s="31">
        <f t="shared" si="287"/>
        <v>-125.692667253405</v>
      </c>
      <c r="AF302" s="32" t="str">
        <f t="shared" si="288"/>
        <v>432,040091031901</v>
      </c>
      <c r="AG302" s="32" t="str">
        <f t="shared" si="270"/>
        <v>1+72,1263771038993i</v>
      </c>
      <c r="AH302" s="32">
        <f t="shared" si="289"/>
        <v>72.1333090474428</v>
      </c>
      <c r="AI302" s="32">
        <f t="shared" si="290"/>
        <v>1.55693266176332</v>
      </c>
      <c r="AJ302" s="32" t="str">
        <f t="shared" si="271"/>
        <v>1+0,681594263631849i</v>
      </c>
      <c r="AK302" s="32">
        <f t="shared" si="291"/>
        <v>1.21019450511719</v>
      </c>
      <c r="AL302" s="32">
        <f t="shared" si="292"/>
        <v>0.598266019433879</v>
      </c>
      <c r="AM302" s="32" t="str">
        <f t="shared" si="272"/>
        <v>1-0,201222471033175i</v>
      </c>
      <c r="AN302" s="32">
        <f t="shared" si="293"/>
        <v>1.02004435337327</v>
      </c>
      <c r="AO302" s="32">
        <f t="shared" si="294"/>
        <v>-0.198570735952444</v>
      </c>
      <c r="AP302" s="30" t="str">
        <f t="shared" si="295"/>
        <v>2,97131611708033-6,77039375194087i</v>
      </c>
      <c r="AQ302" s="32">
        <f t="shared" si="296"/>
        <v>17.3772485237329</v>
      </c>
      <c r="AR302" s="31">
        <f t="shared" si="297"/>
        <v>-66.3048176703363</v>
      </c>
      <c r="AS302" t="str">
        <f t="shared" si="273"/>
        <v>-0,000201496259351621</v>
      </c>
      <c r="AT302" t="str">
        <f t="shared" si="274"/>
        <v>0,00976748922436713i</v>
      </c>
      <c r="AU302">
        <f t="shared" si="298"/>
        <v>0.00976748922436713</v>
      </c>
      <c r="AV302">
        <f t="shared" si="299"/>
        <v>1.5707963267949</v>
      </c>
      <c r="AW302" t="str">
        <f t="shared" si="275"/>
        <v>1+0,500077532937434i</v>
      </c>
      <c r="AX302">
        <f t="shared" si="300"/>
        <v>1.11806866468424</v>
      </c>
      <c r="AY302">
        <f t="shared" si="301"/>
        <v>0.463709633427099</v>
      </c>
      <c r="AZ302" t="str">
        <f t="shared" si="276"/>
        <v>1+23,907962053413i</v>
      </c>
      <c r="BA302">
        <f t="shared" si="302"/>
        <v>23.9288664492791</v>
      </c>
      <c r="BB302">
        <f t="shared" si="303"/>
        <v>1.52899362352682</v>
      </c>
      <c r="BC302" s="30" t="str">
        <f t="shared" si="304"/>
        <v>-0,386286260780722+0,213802359197766i</v>
      </c>
      <c r="BD302" s="32">
        <f t="shared" si="305"/>
        <v>-7.10124605529539</v>
      </c>
      <c r="BE302" s="31">
        <f t="shared" si="306"/>
        <v>151.03627661557</v>
      </c>
      <c r="BF302" s="30" t="str">
        <f t="shared" si="307"/>
        <v>0,648023461922922+0,306922941039133i</v>
      </c>
      <c r="BG302" s="68">
        <f t="shared" si="308"/>
        <v>-2.88921902027782</v>
      </c>
      <c r="BH302" s="31">
        <f t="shared" si="309"/>
        <v>25.3436093621655</v>
      </c>
      <c r="BI302" s="30" t="str">
        <f t="shared" si="263"/>
        <v>0,299747564398318+3,25058448220452i</v>
      </c>
      <c r="BJ302" s="68">
        <f t="shared" si="310"/>
        <v>10.2760024684375</v>
      </c>
      <c r="BK302" s="31">
        <f t="shared" si="264"/>
        <v>84.7314589452338</v>
      </c>
      <c r="BL302" s="32">
        <f t="shared" si="311"/>
        <v>-2.88921902027782</v>
      </c>
      <c r="BM302" s="31">
        <f t="shared" si="312"/>
        <v>25.3436093621655</v>
      </c>
      <c r="BO302">
        <f t="shared" si="313"/>
        <v>0</v>
      </c>
      <c r="BP302">
        <f t="shared" si="314"/>
        <v>0</v>
      </c>
    </row>
    <row r="303" spans="14:68">
      <c r="N303" s="7">
        <v>85</v>
      </c>
      <c r="O303" s="18">
        <f t="shared" si="315"/>
        <v>7079.45784384138</v>
      </c>
      <c r="P303" s="86" t="str">
        <f t="shared" si="265"/>
        <v>54,5454545454545</v>
      </c>
      <c r="Q303" s="4" t="str">
        <f t="shared" si="266"/>
        <v>1+90,5806017601599i</v>
      </c>
      <c r="R303" s="4">
        <f t="shared" si="277"/>
        <v>90.5861215376433</v>
      </c>
      <c r="S303" s="4">
        <f t="shared" si="278"/>
        <v>1.55975688394357</v>
      </c>
      <c r="T303" s="4" t="str">
        <f t="shared" si="267"/>
        <v>1+0,697470633553232i</v>
      </c>
      <c r="U303" s="4">
        <f t="shared" si="279"/>
        <v>1.21920682604271</v>
      </c>
      <c r="V303" s="4">
        <f t="shared" si="280"/>
        <v>0.609026385051883</v>
      </c>
      <c r="W303" t="str">
        <f t="shared" si="268"/>
        <v>1-2,00166954782496i</v>
      </c>
      <c r="X303" s="4">
        <f t="shared" si="281"/>
        <v>2.23756139104378</v>
      </c>
      <c r="Y303" s="4">
        <f t="shared" si="282"/>
        <v>-1.10748240450432</v>
      </c>
      <c r="Z303" t="str">
        <f t="shared" si="269"/>
        <v>0,999590867564386+0,138210516397438i</v>
      </c>
      <c r="AA303" s="4">
        <f t="shared" si="283"/>
        <v>1.00910061409206</v>
      </c>
      <c r="AB303" s="4">
        <f t="shared" si="284"/>
        <v>0.137395936756462</v>
      </c>
      <c r="AC303" s="67" t="str">
        <f t="shared" si="285"/>
        <v>-0,952203929074226-1,3203060497075i</v>
      </c>
      <c r="AD303" s="68">
        <f t="shared" si="286"/>
        <v>4.23229548654225</v>
      </c>
      <c r="AE303" s="31">
        <f t="shared" si="287"/>
        <v>-125.79912000235</v>
      </c>
      <c r="AF303" s="32" t="str">
        <f t="shared" si="288"/>
        <v>432,040091031901</v>
      </c>
      <c r="AG303" s="32" t="str">
        <f t="shared" si="270"/>
        <v>1+73,8064162490192i</v>
      </c>
      <c r="AH303" s="32">
        <f t="shared" si="289"/>
        <v>73.8131904169132</v>
      </c>
      <c r="AI303" s="32">
        <f t="shared" si="290"/>
        <v>1.55724819824265</v>
      </c>
      <c r="AJ303" s="32" t="str">
        <f t="shared" si="271"/>
        <v>1+0,697470633553232i</v>
      </c>
      <c r="AK303" s="32">
        <f t="shared" si="291"/>
        <v>1.21920682604271</v>
      </c>
      <c r="AL303" s="32">
        <f t="shared" si="292"/>
        <v>0.609026385051883</v>
      </c>
      <c r="AM303" s="32" t="str">
        <f t="shared" si="272"/>
        <v>1-0,205909544497665i</v>
      </c>
      <c r="AN303" s="32">
        <f t="shared" si="293"/>
        <v>1.02097930464591</v>
      </c>
      <c r="AO303" s="32">
        <f t="shared" si="294"/>
        <v>-0.203071302955106</v>
      </c>
      <c r="AP303" s="30" t="str">
        <f t="shared" si="295"/>
        <v>2,96760467219204-6,65416803503219i</v>
      </c>
      <c r="AQ303" s="32">
        <f t="shared" si="296"/>
        <v>17.2496879245191</v>
      </c>
      <c r="AR303" s="31">
        <f t="shared" si="297"/>
        <v>-65.9642365376235</v>
      </c>
      <c r="AS303" t="str">
        <f t="shared" si="273"/>
        <v>-0,000201496259351621</v>
      </c>
      <c r="AT303" t="str">
        <f t="shared" si="274"/>
        <v>0,00999500327547266i</v>
      </c>
      <c r="AU303">
        <f t="shared" si="298"/>
        <v>0.00999500327547266</v>
      </c>
      <c r="AV303">
        <f t="shared" si="299"/>
        <v>1.5707963267949</v>
      </c>
      <c r="AW303" t="str">
        <f t="shared" si="275"/>
        <v>1+0,511725835051924i</v>
      </c>
      <c r="AX303">
        <f t="shared" si="300"/>
        <v>1.12332690266885</v>
      </c>
      <c r="AY303">
        <f t="shared" si="301"/>
        <v>0.472984212673194</v>
      </c>
      <c r="AZ303" t="str">
        <f t="shared" si="276"/>
        <v>1+24,4648500289717i</v>
      </c>
      <c r="BA303">
        <f t="shared" si="302"/>
        <v>24.4852789843219</v>
      </c>
      <c r="BB303">
        <f t="shared" si="303"/>
        <v>1.52994409858194</v>
      </c>
      <c r="BC303" s="30" t="str">
        <f t="shared" si="304"/>
        <v>-0,382678350837849+0,21598609782029i</v>
      </c>
      <c r="BD303" s="32">
        <f t="shared" si="305"/>
        <v>-7.14234111752927</v>
      </c>
      <c r="BE303" s="31">
        <f t="shared" si="306"/>
        <v>150.5593405772</v>
      </c>
      <c r="BF303" s="30" t="str">
        <f t="shared" si="307"/>
        <v>0,64955558084429+0,299589730733411i</v>
      </c>
      <c r="BG303" s="68">
        <f t="shared" si="308"/>
        <v>-2.91004563098701</v>
      </c>
      <c r="BH303" s="31">
        <f t="shared" si="309"/>
        <v>24.7602205748502</v>
      </c>
      <c r="BI303" s="30" t="str">
        <f t="shared" si="263"/>
        <v>0,301569726233964+3,18736740286407i</v>
      </c>
      <c r="BJ303" s="68">
        <f t="shared" si="310"/>
        <v>10.1073468069898</v>
      </c>
      <c r="BK303" s="31">
        <f t="shared" si="264"/>
        <v>84.5951040395768</v>
      </c>
      <c r="BL303" s="32">
        <f t="shared" si="311"/>
        <v>-2.91004563098701</v>
      </c>
      <c r="BM303" s="31">
        <f t="shared" si="312"/>
        <v>24.7602205748502</v>
      </c>
      <c r="BO303">
        <f t="shared" si="313"/>
        <v>0</v>
      </c>
      <c r="BP303">
        <f t="shared" si="314"/>
        <v>0</v>
      </c>
    </row>
    <row r="304" spans="14:68">
      <c r="N304" s="7">
        <v>86</v>
      </c>
      <c r="O304" s="18">
        <f t="shared" si="315"/>
        <v>7244.3596007499</v>
      </c>
      <c r="P304" s="86" t="str">
        <f t="shared" si="265"/>
        <v>54,5454545454545</v>
      </c>
      <c r="Q304" s="4" t="str">
        <f t="shared" si="266"/>
        <v>1+92,6904950177453i</v>
      </c>
      <c r="R304" s="4">
        <f t="shared" si="277"/>
        <v>92.6958891571502</v>
      </c>
      <c r="S304" s="4">
        <f t="shared" si="278"/>
        <v>1.56000815261796</v>
      </c>
      <c r="T304" s="4" t="str">
        <f t="shared" si="267"/>
        <v>1+0,71371681163664i</v>
      </c>
      <c r="U304" s="4">
        <f t="shared" si="279"/>
        <v>1.22857302884801</v>
      </c>
      <c r="V304" s="4">
        <f t="shared" si="280"/>
        <v>0.61987267880287</v>
      </c>
      <c r="W304" t="str">
        <f t="shared" si="268"/>
        <v>1-2,04829442115107i</v>
      </c>
      <c r="X304" s="4">
        <f t="shared" si="281"/>
        <v>2.27936614779605</v>
      </c>
      <c r="Y304" s="4">
        <f t="shared" si="282"/>
        <v>-1.11662426648924</v>
      </c>
      <c r="Z304" t="str">
        <f t="shared" si="269"/>
        <v>0,999571585746735+0,141429852889002i</v>
      </c>
      <c r="AA304" s="4">
        <f t="shared" si="283"/>
        <v>1.00952749260258</v>
      </c>
      <c r="AB304" s="4">
        <f t="shared" si="284"/>
        <v>0.140557459129131</v>
      </c>
      <c r="AC304" s="67" t="str">
        <f t="shared" si="285"/>
        <v>-0,957055453905414-1,32226592256631i</v>
      </c>
      <c r="AD304" s="68">
        <f t="shared" si="286"/>
        <v>4.25590021770203</v>
      </c>
      <c r="AE304" s="31">
        <f t="shared" si="287"/>
        <v>-125.897001779043</v>
      </c>
      <c r="AF304" s="32" t="str">
        <f t="shared" si="288"/>
        <v>432,040091031901</v>
      </c>
      <c r="AG304" s="32" t="str">
        <f t="shared" si="270"/>
        <v>1+75,5255885329776i</v>
      </c>
      <c r="AH304" s="32">
        <f t="shared" si="289"/>
        <v>75.5322085156567</v>
      </c>
      <c r="AI304" s="32">
        <f t="shared" si="290"/>
        <v>1.55755655484184</v>
      </c>
      <c r="AJ304" s="32" t="str">
        <f t="shared" si="271"/>
        <v>1+0,71371681163664i</v>
      </c>
      <c r="AK304" s="32">
        <f t="shared" si="291"/>
        <v>1.22857302884801</v>
      </c>
      <c r="AL304" s="32">
        <f t="shared" si="292"/>
        <v>0.61987267880287</v>
      </c>
      <c r="AM304" s="32" t="str">
        <f t="shared" si="272"/>
        <v>1-0,210705793928182i</v>
      </c>
      <c r="AN304" s="32">
        <f t="shared" si="293"/>
        <v>1.02195740204517</v>
      </c>
      <c r="AO304" s="32">
        <f t="shared" si="294"/>
        <v>-0.207668081244959</v>
      </c>
      <c r="AP304" s="30" t="str">
        <f t="shared" si="295"/>
        <v>2,96406020990153-6,54146591918316i</v>
      </c>
      <c r="AQ304" s="32">
        <f t="shared" si="296"/>
        <v>17.124512720964</v>
      </c>
      <c r="AR304" s="31">
        <f t="shared" si="297"/>
        <v>-65.6238332094175</v>
      </c>
      <c r="AS304" t="str">
        <f t="shared" si="273"/>
        <v>-0,000201496259351621</v>
      </c>
      <c r="AT304" t="str">
        <f t="shared" si="274"/>
        <v>0,0102278168096144i</v>
      </c>
      <c r="AU304">
        <f t="shared" si="298"/>
        <v>0.0102278168096144</v>
      </c>
      <c r="AV304">
        <f t="shared" si="299"/>
        <v>1.5707963267949</v>
      </c>
      <c r="AW304" t="str">
        <f t="shared" si="275"/>
        <v>1+0,523645460977651i</v>
      </c>
      <c r="AX304">
        <f t="shared" si="300"/>
        <v>1.12880670125691</v>
      </c>
      <c r="AY304">
        <f t="shared" si="301"/>
        <v>0.482384546645558</v>
      </c>
      <c r="AZ304" t="str">
        <f t="shared" si="276"/>
        <v>1+25,0347095918464i</v>
      </c>
      <c r="BA304">
        <f t="shared" si="302"/>
        <v>25.05467390225</v>
      </c>
      <c r="BB304">
        <f t="shared" si="303"/>
        <v>1.53087300955206</v>
      </c>
      <c r="BC304" s="30" t="str">
        <f t="shared" si="304"/>
        <v>-0,378971940636123+0,21814774495543i</v>
      </c>
      <c r="BD304" s="32">
        <f t="shared" si="305"/>
        <v>-7.18493554047779</v>
      </c>
      <c r="BE304" s="31">
        <f t="shared" si="306"/>
        <v>150.073963792701</v>
      </c>
      <c r="BF304" s="30" t="str">
        <f t="shared" si="307"/>
        <v>0,651146491902172+0,292322193645207i</v>
      </c>
      <c r="BG304" s="68">
        <f t="shared" si="308"/>
        <v>-2.92903532277576</v>
      </c>
      <c r="BH304" s="31">
        <f t="shared" si="309"/>
        <v>24.1769620136584</v>
      </c>
      <c r="BI304" s="30" t="str">
        <f t="shared" si="263"/>
        <v>0,303710389063909+3,12563508470004i</v>
      </c>
      <c r="BJ304" s="68">
        <f t="shared" si="310"/>
        <v>9.93957718048618</v>
      </c>
      <c r="BK304" s="31">
        <f t="shared" si="264"/>
        <v>84.4501305832839</v>
      </c>
      <c r="BL304" s="32">
        <f t="shared" si="311"/>
        <v>-2.92903532277576</v>
      </c>
      <c r="BM304" s="31">
        <f t="shared" si="312"/>
        <v>24.1769620136584</v>
      </c>
      <c r="BO304">
        <f t="shared" si="313"/>
        <v>0</v>
      </c>
      <c r="BP304">
        <f t="shared" si="314"/>
        <v>0</v>
      </c>
    </row>
    <row r="305" spans="14:68">
      <c r="N305" s="7">
        <v>87</v>
      </c>
      <c r="O305" s="18">
        <f t="shared" si="315"/>
        <v>7413.10241300918</v>
      </c>
      <c r="P305" s="86" t="str">
        <f t="shared" si="265"/>
        <v>54,5454545454545</v>
      </c>
      <c r="Q305" s="4" t="str">
        <f t="shared" si="266"/>
        <v>1+94,849534002693i</v>
      </c>
      <c r="R305" s="4">
        <f t="shared" si="277"/>
        <v>94.8548053633975</v>
      </c>
      <c r="S305" s="4">
        <f t="shared" si="278"/>
        <v>1.5602537030354</v>
      </c>
      <c r="T305" s="4" t="str">
        <f t="shared" si="267"/>
        <v>1+0,730341411820737i</v>
      </c>
      <c r="U305" s="4">
        <f t="shared" si="279"/>
        <v>1.23830471929179</v>
      </c>
      <c r="V305" s="4">
        <f t="shared" si="280"/>
        <v>0.630800443831653</v>
      </c>
      <c r="W305" t="str">
        <f t="shared" si="268"/>
        <v>1-2,09600532729166i</v>
      </c>
      <c r="X305" s="4">
        <f t="shared" si="281"/>
        <v>2.32233467270224</v>
      </c>
      <c r="Y305" s="4">
        <f t="shared" si="282"/>
        <v>-1.12563758347653</v>
      </c>
      <c r="Z305" t="str">
        <f t="shared" si="269"/>
        <v>0,999551395205014+0,144724177360614i</v>
      </c>
      <c r="AA305" s="4">
        <f t="shared" si="283"/>
        <v>1.00997429629125</v>
      </c>
      <c r="AB305" s="4">
        <f t="shared" si="284"/>
        <v>0.143789888222261</v>
      </c>
      <c r="AC305" s="67" t="str">
        <f t="shared" si="285"/>
        <v>-0,962099395171653-1,32486840199989i</v>
      </c>
      <c r="AD305" s="68">
        <f t="shared" si="286"/>
        <v>4.28282482321289</v>
      </c>
      <c r="AE305" s="31">
        <f t="shared" si="287"/>
        <v>-125.986585533358</v>
      </c>
      <c r="AF305" s="32" t="str">
        <f t="shared" si="288"/>
        <v>432,040091031901</v>
      </c>
      <c r="AG305" s="32" t="str">
        <f t="shared" si="270"/>
        <v>1+77,2848054836758i</v>
      </c>
      <c r="AH305" s="32">
        <f t="shared" si="289"/>
        <v>77.2912747899115</v>
      </c>
      <c r="AI305" s="32">
        <f t="shared" si="290"/>
        <v>1.55785789482095</v>
      </c>
      <c r="AJ305" s="32" t="str">
        <f t="shared" si="271"/>
        <v>1+0,730341411820737i</v>
      </c>
      <c r="AK305" s="32">
        <f t="shared" si="291"/>
        <v>1.23830471929179</v>
      </c>
      <c r="AL305" s="32">
        <f t="shared" si="292"/>
        <v>0.630800443831653</v>
      </c>
      <c r="AM305" s="32" t="str">
        <f t="shared" si="272"/>
        <v>1-0,215613762359662i</v>
      </c>
      <c r="AN305" s="32">
        <f t="shared" si="293"/>
        <v>1.02298059342242</v>
      </c>
      <c r="AO305" s="32">
        <f t="shared" si="294"/>
        <v>-0.212362730677412</v>
      </c>
      <c r="AP305" s="30" t="str">
        <f t="shared" si="295"/>
        <v>2,96067522002649-6,43222795028721i</v>
      </c>
      <c r="AQ305" s="32">
        <f t="shared" si="296"/>
        <v>17.0017700322674</v>
      </c>
      <c r="AR305" s="31">
        <f t="shared" si="297"/>
        <v>-65.2839675015322</v>
      </c>
      <c r="AS305" t="str">
        <f t="shared" si="273"/>
        <v>-0,000201496259351621</v>
      </c>
      <c r="AT305" t="str">
        <f t="shared" si="274"/>
        <v>0,0104660532676097i</v>
      </c>
      <c r="AU305">
        <f t="shared" si="298"/>
        <v>0.0104660532676097</v>
      </c>
      <c r="AV305">
        <f t="shared" si="299"/>
        <v>1.5707963267949</v>
      </c>
      <c r="AW305" t="str">
        <f t="shared" si="275"/>
        <v>1+0,535842730658056i</v>
      </c>
      <c r="AX305">
        <f t="shared" si="300"/>
        <v>1.13451638683585</v>
      </c>
      <c r="AY305">
        <f t="shared" si="301"/>
        <v>0.491908973265042</v>
      </c>
      <c r="AZ305" t="str">
        <f t="shared" si="276"/>
        <v>1+25,6178428891202i</v>
      </c>
      <c r="BA305">
        <f t="shared" si="302"/>
        <v>25.6373531061934</v>
      </c>
      <c r="BB305">
        <f t="shared" si="303"/>
        <v>1.53178084254212</v>
      </c>
      <c r="BC305" s="30" t="str">
        <f t="shared" si="304"/>
        <v>-0,375167031796151+0,220282890025279i</v>
      </c>
      <c r="BD305" s="32">
        <f t="shared" si="305"/>
        <v>-7.22907081555148</v>
      </c>
      <c r="BE305" s="31">
        <f t="shared" si="306"/>
        <v>149.580269343957</v>
      </c>
      <c r="BF305" s="30" t="str">
        <f t="shared" si="307"/>
        <v>0,65279381487513+0,285112910638824i</v>
      </c>
      <c r="BG305" s="68">
        <f t="shared" si="308"/>
        <v>-2.94624599233859</v>
      </c>
      <c r="BH305" s="31">
        <f t="shared" si="309"/>
        <v>23.593683810599</v>
      </c>
      <c r="BI305" s="30" t="str">
        <f t="shared" si="263"/>
        <v>0,306162027780889+3,06534596183916i</v>
      </c>
      <c r="BJ305" s="68">
        <f t="shared" si="310"/>
        <v>9.77269921671589</v>
      </c>
      <c r="BK305" s="31">
        <f t="shared" si="264"/>
        <v>84.2963018424243</v>
      </c>
      <c r="BL305" s="32">
        <f t="shared" si="311"/>
        <v>-2.94624599233859</v>
      </c>
      <c r="BM305" s="31">
        <f t="shared" si="312"/>
        <v>23.593683810599</v>
      </c>
      <c r="BO305">
        <f t="shared" si="313"/>
        <v>0</v>
      </c>
      <c r="BP305">
        <f t="shared" si="314"/>
        <v>0</v>
      </c>
    </row>
    <row r="306" spans="14:68">
      <c r="N306" s="7">
        <v>88</v>
      </c>
      <c r="O306" s="18">
        <f t="shared" si="315"/>
        <v>7585.77575029184</v>
      </c>
      <c r="P306" s="86" t="str">
        <f t="shared" si="265"/>
        <v>54,5454545454545</v>
      </c>
      <c r="Q306" s="4" t="str">
        <f t="shared" si="266"/>
        <v>1+97,0588634660509i</v>
      </c>
      <c r="R306" s="4">
        <f t="shared" si="277"/>
        <v>97.0640148423787</v>
      </c>
      <c r="S306" s="4">
        <f t="shared" si="278"/>
        <v>1.56049366527148</v>
      </c>
      <c r="T306" s="4" t="str">
        <f t="shared" si="267"/>
        <v>1+0,747353248688593i</v>
      </c>
      <c r="U306" s="4">
        <f t="shared" si="279"/>
        <v>1.24841374484799</v>
      </c>
      <c r="V306" s="4">
        <f t="shared" si="280"/>
        <v>0.641805034816976</v>
      </c>
      <c r="W306" t="str">
        <f t="shared" si="268"/>
        <v>1-2,14482756320068i</v>
      </c>
      <c r="X306" s="4">
        <f t="shared" si="281"/>
        <v>2.36649218800007</v>
      </c>
      <c r="Y306" s="4">
        <f t="shared" si="282"/>
        <v>-1.13452127553482</v>
      </c>
      <c r="Z306" t="str">
        <f t="shared" si="269"/>
        <v>0,999530253112378+0,148095236506714i</v>
      </c>
      <c r="AA306" s="4">
        <f t="shared" si="283"/>
        <v>1.01044194586472</v>
      </c>
      <c r="AB306" s="4">
        <f t="shared" si="284"/>
        <v>0.147094685271178</v>
      </c>
      <c r="AC306" s="67" t="str">
        <f t="shared" si="285"/>
        <v>-0,967345310006921-1,32811089181644i</v>
      </c>
      <c r="AD306" s="68">
        <f t="shared" si="286"/>
        <v>4.31305128797751</v>
      </c>
      <c r="AE306" s="31">
        <f t="shared" si="287"/>
        <v>-126.068166722484</v>
      </c>
      <c r="AF306" s="32" t="str">
        <f t="shared" si="288"/>
        <v>432,040091031901</v>
      </c>
      <c r="AG306" s="32" t="str">
        <f t="shared" si="270"/>
        <v>1+79,0849998612267i</v>
      </c>
      <c r="AH306" s="32">
        <f t="shared" si="289"/>
        <v>79.091321919982</v>
      </c>
      <c r="AI306" s="32">
        <f t="shared" si="290"/>
        <v>1.55815237773539</v>
      </c>
      <c r="AJ306" s="32" t="str">
        <f t="shared" si="271"/>
        <v>1+0,747353248688593i</v>
      </c>
      <c r="AK306" s="32">
        <f t="shared" si="291"/>
        <v>1.24841374484799</v>
      </c>
      <c r="AL306" s="32">
        <f t="shared" si="292"/>
        <v>0.641805034816976</v>
      </c>
      <c r="AM306" s="32" t="str">
        <f t="shared" si="272"/>
        <v>1-0,22063605206193i</v>
      </c>
      <c r="AN306" s="32">
        <f t="shared" si="293"/>
        <v>1.02405091058476</v>
      </c>
      <c r="AO306" s="32">
        <f t="shared" si="294"/>
        <v>-0.21715691228291</v>
      </c>
      <c r="AP306" s="30" t="str">
        <f t="shared" si="295"/>
        <v>2,95744252993476-6,32639649082542i</v>
      </c>
      <c r="AQ306" s="32">
        <f t="shared" si="296"/>
        <v>16.8815060839761</v>
      </c>
      <c r="AR306" s="31">
        <f t="shared" si="297"/>
        <v>-64.945009883156</v>
      </c>
      <c r="AS306" t="str">
        <f t="shared" si="273"/>
        <v>-0,000201496259351621</v>
      </c>
      <c r="AT306" t="str">
        <f t="shared" si="274"/>
        <v>0,0107098389655821i</v>
      </c>
      <c r="AU306">
        <f t="shared" si="298"/>
        <v>0.0107098389655821</v>
      </c>
      <c r="AV306">
        <f t="shared" si="299"/>
        <v>1.5707963267949</v>
      </c>
      <c r="AW306" t="str">
        <f t="shared" si="275"/>
        <v>1+0,548324111246972i</v>
      </c>
      <c r="AX306">
        <f t="shared" si="300"/>
        <v>1.14046452420704</v>
      </c>
      <c r="AY306">
        <f t="shared" si="301"/>
        <v>0.501555629629931</v>
      </c>
      <c r="AZ306" t="str">
        <f t="shared" si="276"/>
        <v>1+26,2145591057861i</v>
      </c>
      <c r="BA306">
        <f t="shared" si="302"/>
        <v>26.2336255426266</v>
      </c>
      <c r="BB306">
        <f t="shared" si="303"/>
        <v>1.53266807290819</v>
      </c>
      <c r="BC306" s="30" t="str">
        <f t="shared" si="304"/>
        <v>-0,371263840351335+0,222387041262692i</v>
      </c>
      <c r="BD306" s="32">
        <f t="shared" si="305"/>
        <v>-7.27478835868132</v>
      </c>
      <c r="BE306" s="31">
        <f t="shared" si="306"/>
        <v>149.078391203266</v>
      </c>
      <c r="BF306" s="30" t="str">
        <f t="shared" si="307"/>
        <v>0,654494986438835+0,277954488736427i</v>
      </c>
      <c r="BG306" s="68">
        <f t="shared" si="308"/>
        <v>-2.96173707070381</v>
      </c>
      <c r="BH306" s="31">
        <f t="shared" si="309"/>
        <v>23.0102244807821</v>
      </c>
      <c r="BI306" s="30" t="str">
        <f t="shared" ref="BI306:BI369" si="316">IMPRODUCT(AP306,BC306)</f>
        <v>0,308917126167396+3,0064591507057i</v>
      </c>
      <c r="BJ306" s="68">
        <f t="shared" si="310"/>
        <v>9.60671772529477</v>
      </c>
      <c r="BK306" s="31">
        <f t="shared" ref="BK306:BK369" si="317">(180/PI())*IMARGUMENT(BI306)</f>
        <v>84.1333813201104</v>
      </c>
      <c r="BL306" s="32">
        <f t="shared" si="311"/>
        <v>-2.96173707070381</v>
      </c>
      <c r="BM306" s="31">
        <f t="shared" si="312"/>
        <v>23.0102244807821</v>
      </c>
      <c r="BO306">
        <f t="shared" si="313"/>
        <v>0</v>
      </c>
      <c r="BP306">
        <f t="shared" si="314"/>
        <v>0</v>
      </c>
    </row>
    <row r="307" spans="14:68">
      <c r="N307" s="7">
        <v>89</v>
      </c>
      <c r="O307" s="18">
        <f t="shared" si="315"/>
        <v>7762.47116628693</v>
      </c>
      <c r="P307" s="86" t="str">
        <f t="shared" si="265"/>
        <v>54,5454545454545</v>
      </c>
      <c r="Q307" s="4" t="str">
        <f t="shared" si="266"/>
        <v>1+99,3196548235445i</v>
      </c>
      <c r="R307" s="4">
        <f t="shared" si="277"/>
        <v>99.3246889462435</v>
      </c>
      <c r="S307" s="4">
        <f t="shared" si="278"/>
        <v>1.56072816644674</v>
      </c>
      <c r="T307" s="4" t="str">
        <f t="shared" si="267"/>
        <v>1+0,764761342141294i</v>
      </c>
      <c r="U307" s="4">
        <f t="shared" si="279"/>
        <v>1.25891219329775</v>
      </c>
      <c r="V307" s="4">
        <f t="shared" si="280"/>
        <v>0.652881625532901</v>
      </c>
      <c r="W307" t="str">
        <f t="shared" si="268"/>
        <v>1-2,19478701507387i</v>
      </c>
      <c r="X307" s="4">
        <f t="shared" si="281"/>
        <v>2.41186443266135</v>
      </c>
      <c r="Y307" s="4">
        <f t="shared" si="282"/>
        <v>-1.14327444310053</v>
      </c>
      <c r="Z307" t="str">
        <f t="shared" si="269"/>
        <v>0,999508114623613+0,151544817707481i</v>
      </c>
      <c r="AA307" s="4">
        <f t="shared" si="283"/>
        <v>1.01093140369287</v>
      </c>
      <c r="AB307" s="4">
        <f t="shared" si="284"/>
        <v>0.150473332547397</v>
      </c>
      <c r="AC307" s="67" t="str">
        <f t="shared" si="285"/>
        <v>-0,972803078408843-1,33199086757996i</v>
      </c>
      <c r="AD307" s="68">
        <f t="shared" si="286"/>
        <v>4.34655993806779</v>
      </c>
      <c r="AE307" s="31">
        <f t="shared" si="287"/>
        <v>-126.142062538978</v>
      </c>
      <c r="AF307" s="32" t="str">
        <f t="shared" si="288"/>
        <v>432,040091031901</v>
      </c>
      <c r="AG307" s="32" t="str">
        <f t="shared" si="270"/>
        <v>1+80,9271261525177i</v>
      </c>
      <c r="AH307" s="32">
        <f t="shared" si="289"/>
        <v>80.9333043147598</v>
      </c>
      <c r="AI307" s="32">
        <f t="shared" si="290"/>
        <v>1.55844015951949</v>
      </c>
      <c r="AJ307" s="32" t="str">
        <f t="shared" si="271"/>
        <v>1+0,764761342141294i</v>
      </c>
      <c r="AK307" s="32">
        <f t="shared" si="291"/>
        <v>1.25891219329775</v>
      </c>
      <c r="AL307" s="32">
        <f t="shared" si="292"/>
        <v>0.652881625532901</v>
      </c>
      <c r="AM307" s="32" t="str">
        <f t="shared" si="272"/>
        <v>1-0,225775325919465i</v>
      </c>
      <c r="AN307" s="32">
        <f t="shared" si="293"/>
        <v>1.02517047255276</v>
      </c>
      <c r="AO307" s="32">
        <f t="shared" si="294"/>
        <v>-0.222052286072392</v>
      </c>
      <c r="AP307" s="30" t="str">
        <f t="shared" si="295"/>
        <v>2,95435528939282-6,22391569064989i</v>
      </c>
      <c r="AQ307" s="32">
        <f t="shared" si="296"/>
        <v>16.7637661168185</v>
      </c>
      <c r="AR307" s="31">
        <f t="shared" si="297"/>
        <v>-64.6073409226651</v>
      </c>
      <c r="AS307" t="str">
        <f t="shared" si="273"/>
        <v>-0,000201496259351621</v>
      </c>
      <c r="AT307" t="str">
        <f t="shared" si="274"/>
        <v>0,0109593031619355i</v>
      </c>
      <c r="AU307">
        <f t="shared" si="298"/>
        <v>0.0109593031619355</v>
      </c>
      <c r="AV307">
        <f t="shared" si="299"/>
        <v>1.5707963267949</v>
      </c>
      <c r="AW307" t="str">
        <f t="shared" si="275"/>
        <v>1+0,5610962205376i</v>
      </c>
      <c r="AX307">
        <f t="shared" si="300"/>
        <v>1.14665991850312</v>
      </c>
      <c r="AY307">
        <f t="shared" si="301"/>
        <v>0.511322448155377</v>
      </c>
      <c r="AZ307" t="str">
        <f t="shared" si="276"/>
        <v>1+26,8251746286805i</v>
      </c>
      <c r="BA307">
        <f t="shared" si="302"/>
        <v>26.8438073651858</v>
      </c>
      <c r="BB307">
        <f t="shared" si="303"/>
        <v>1.53353516548108</v>
      </c>
      <c r="BC307" s="30" t="str">
        <f t="shared" si="304"/>
        <v>-0,367262807331785+0,224455637309574i</v>
      </c>
      <c r="BD307" s="32">
        <f t="shared" si="305"/>
        <v>-7.32212942067152</v>
      </c>
      <c r="BE307" s="31">
        <f t="shared" si="306"/>
        <v>148.568474467363</v>
      </c>
      <c r="BF307" s="30" t="str">
        <f t="shared" si="307"/>
        <v>0,656247248630627+0,270839570426744i</v>
      </c>
      <c r="BG307" s="68">
        <f t="shared" si="308"/>
        <v>-2.97556948260372</v>
      </c>
      <c r="BH307" s="31">
        <f t="shared" si="309"/>
        <v>22.4264119283843</v>
      </c>
      <c r="BI307" s="30" t="str">
        <f t="shared" si="316"/>
        <v>0,311968145467963+2,948934448464i</v>
      </c>
      <c r="BJ307" s="68">
        <f t="shared" si="310"/>
        <v>9.44163669614701</v>
      </c>
      <c r="BK307" s="31">
        <f t="shared" si="317"/>
        <v>83.9611335446975</v>
      </c>
      <c r="BL307" s="32">
        <f t="shared" si="311"/>
        <v>-2.97556948260372</v>
      </c>
      <c r="BM307" s="31">
        <f t="shared" si="312"/>
        <v>22.4264119283843</v>
      </c>
      <c r="BO307">
        <f t="shared" si="313"/>
        <v>0</v>
      </c>
      <c r="BP307">
        <f t="shared" si="314"/>
        <v>0</v>
      </c>
    </row>
    <row r="308" spans="14:68">
      <c r="N308" s="7">
        <v>90</v>
      </c>
      <c r="O308" s="18">
        <f t="shared" si="315"/>
        <v>7943.28234724282</v>
      </c>
      <c r="P308" s="86" t="str">
        <f t="shared" si="265"/>
        <v>54,5454545454545</v>
      </c>
      <c r="Q308" s="4" t="str">
        <f t="shared" si="266"/>
        <v>1+101,633106776676i</v>
      </c>
      <c r="R308" s="4">
        <f t="shared" si="277"/>
        <v>101.638026314363</v>
      </c>
      <c r="S308" s="4">
        <f t="shared" si="278"/>
        <v>1.56095733079357</v>
      </c>
      <c r="T308" s="4" t="str">
        <f t="shared" si="267"/>
        <v>1+0,78257492218041i</v>
      </c>
      <c r="U308" s="4">
        <f t="shared" si="279"/>
        <v>1.26981239119237</v>
      </c>
      <c r="V308" s="4">
        <f t="shared" si="280"/>
        <v>0.664025217387735</v>
      </c>
      <c r="W308" t="str">
        <f t="shared" si="268"/>
        <v>1-2,24591017207388i</v>
      </c>
      <c r="X308" s="4">
        <f t="shared" si="281"/>
        <v>2.45847767958648</v>
      </c>
      <c r="Y308" s="4">
        <f t="shared" si="282"/>
        <v>-1.15189636099554</v>
      </c>
      <c r="Z308" t="str">
        <f t="shared" si="269"/>
        <v>0,999484932780016+0,15507474997653i</v>
      </c>
      <c r="AA308" s="4">
        <f t="shared" si="283"/>
        <v>1.01144367561153</v>
      </c>
      <c r="AB308" s="4">
        <f t="shared" si="284"/>
        <v>0.153927332991391</v>
      </c>
      <c r="AC308" s="67" t="str">
        <f t="shared" si="285"/>
        <v>-0,978482914651981-1,33650585858176i</v>
      </c>
      <c r="AD308" s="68">
        <f t="shared" si="286"/>
        <v>4.38332938985083</v>
      </c>
      <c r="AE308" s="31">
        <f t="shared" si="287"/>
        <v>-126.208611061538</v>
      </c>
      <c r="AF308" s="32" t="str">
        <f t="shared" si="288"/>
        <v>432,040091031901</v>
      </c>
      <c r="AG308" s="32" t="str">
        <f t="shared" si="270"/>
        <v>1+82,8121610772919i</v>
      </c>
      <c r="AH308" s="32">
        <f t="shared" si="289"/>
        <v>82.8181986177636</v>
      </c>
      <c r="AI308" s="32">
        <f t="shared" si="290"/>
        <v>1.55872139256816</v>
      </c>
      <c r="AJ308" s="32" t="str">
        <f t="shared" si="271"/>
        <v>1+0,78257492218041i</v>
      </c>
      <c r="AK308" s="32">
        <f t="shared" si="291"/>
        <v>1.26981239119237</v>
      </c>
      <c r="AL308" s="32">
        <f t="shared" si="292"/>
        <v>0.664025217387735</v>
      </c>
      <c r="AM308" s="32" t="str">
        <f t="shared" si="272"/>
        <v>1-0,231034308843292i</v>
      </c>
      <c r="AN308" s="32">
        <f t="shared" si="293"/>
        <v>1.02634148891229</v>
      </c>
      <c r="AO308" s="32">
        <f t="shared" si="294"/>
        <v>-0.227050508682491</v>
      </c>
      <c r="AP308" s="30" t="str">
        <f t="shared" si="295"/>
        <v>2,95140695609265-6,12473145862541i</v>
      </c>
      <c r="AQ308" s="32">
        <f t="shared" si="296"/>
        <v>16.6485942989061</v>
      </c>
      <c r="AR308" s="31">
        <f t="shared" si="297"/>
        <v>-64.271350668141</v>
      </c>
      <c r="AS308" t="str">
        <f t="shared" si="273"/>
        <v>-0,000201496259351621</v>
      </c>
      <c r="AT308" t="str">
        <f t="shared" si="274"/>
        <v>0,0112145781258889i</v>
      </c>
      <c r="AU308">
        <f t="shared" si="298"/>
        <v>0.0112145781258889</v>
      </c>
      <c r="AV308">
        <f t="shared" si="299"/>
        <v>1.5707963267949</v>
      </c>
      <c r="AW308" t="str">
        <f t="shared" si="275"/>
        <v>1+0,574165830471343i</v>
      </c>
      <c r="AX308">
        <f t="shared" si="300"/>
        <v>1.15311161683544</v>
      </c>
      <c r="AY308">
        <f t="shared" si="301"/>
        <v>0.521207153299462</v>
      </c>
      <c r="AZ308" t="str">
        <f t="shared" si="276"/>
        <v>1+27,4500132142363i</v>
      </c>
      <c r="BA308">
        <f t="shared" si="302"/>
        <v>27.4682221023085</v>
      </c>
      <c r="BB308">
        <f t="shared" si="303"/>
        <v>1.53438257478641</v>
      </c>
      <c r="BC308" s="30" t="str">
        <f t="shared" si="304"/>
        <v>-0,363164608721862+0,226484059972593i</v>
      </c>
      <c r="BD308" s="32">
        <f t="shared" si="305"/>
        <v>-7.37113499323405</v>
      </c>
      <c r="BE308" s="31">
        <f t="shared" si="306"/>
        <v>148.050675557591</v>
      </c>
      <c r="BF308" s="30" t="str">
        <f t="shared" si="307"/>
        <v>0,658047637869367+0,263760844062124i</v>
      </c>
      <c r="BG308" s="68">
        <f t="shared" si="308"/>
        <v>-2.98780560338322</v>
      </c>
      <c r="BH308" s="31">
        <f t="shared" si="309"/>
        <v>21.842064496053</v>
      </c>
      <c r="BI308" s="30" t="str">
        <f t="shared" si="316"/>
        <v>0,315307494602975+2,89273233374539i</v>
      </c>
      <c r="BJ308" s="68">
        <f t="shared" si="310"/>
        <v>9.27745930567204</v>
      </c>
      <c r="BK308" s="31">
        <f t="shared" si="317"/>
        <v>83.7793248894496</v>
      </c>
      <c r="BL308" s="32">
        <f t="shared" si="311"/>
        <v>-2.98780560338322</v>
      </c>
      <c r="BM308" s="31">
        <f t="shared" si="312"/>
        <v>21.842064496053</v>
      </c>
      <c r="BO308">
        <f t="shared" si="313"/>
        <v>0</v>
      </c>
      <c r="BP308">
        <f t="shared" si="314"/>
        <v>0</v>
      </c>
    </row>
    <row r="309" spans="14:68">
      <c r="N309" s="7">
        <v>91</v>
      </c>
      <c r="O309" s="18">
        <f t="shared" si="315"/>
        <v>8128.30516164101</v>
      </c>
      <c r="P309" s="86" t="str">
        <f t="shared" si="265"/>
        <v>54,5454545454545</v>
      </c>
      <c r="Q309" s="4" t="str">
        <f t="shared" si="266"/>
        <v>1+104,000445948295i</v>
      </c>
      <c r="R309" s="4">
        <f t="shared" si="277"/>
        <v>104.00525350887</v>
      </c>
      <c r="S309" s="4">
        <f t="shared" si="278"/>
        <v>1.56118127972163</v>
      </c>
      <c r="T309" s="4" t="str">
        <f t="shared" si="267"/>
        <v>1+0,800803433801871i</v>
      </c>
      <c r="U309" s="4">
        <f t="shared" si="279"/>
        <v>1.28112690221885</v>
      </c>
      <c r="V309" s="4">
        <f t="shared" si="280"/>
        <v>0.675230648918746</v>
      </c>
      <c r="W309" t="str">
        <f t="shared" si="268"/>
        <v>1-2,29822414037527i</v>
      </c>
      <c r="X309" s="4">
        <f t="shared" si="281"/>
        <v>2.50635875313245</v>
      </c>
      <c r="Y309" s="4">
        <f t="shared" si="282"/>
        <v>-1.16038647218349</v>
      </c>
      <c r="Z309" t="str">
        <f t="shared" si="269"/>
        <v>0,99946065840979+0,158686904930673i</v>
      </c>
      <c r="AA309" s="4">
        <f t="shared" si="283"/>
        <v>1.0119798127954</v>
      </c>
      <c r="AB309" s="4">
        <f t="shared" si="284"/>
        <v>0.157458209783864</v>
      </c>
      <c r="AC309" s="67" t="str">
        <f t="shared" si="285"/>
        <v>-0,984395378581172-1,34165342889196i</v>
      </c>
      <c r="AD309" s="68">
        <f t="shared" si="286"/>
        <v>4.42333649802551</v>
      </c>
      <c r="AE309" s="31">
        <f t="shared" si="287"/>
        <v>-126.268170332448</v>
      </c>
      <c r="AF309" s="32" t="str">
        <f t="shared" si="288"/>
        <v>432,040091031901</v>
      </c>
      <c r="AG309" s="32" t="str">
        <f t="shared" si="270"/>
        <v>1+84,741104106018i</v>
      </c>
      <c r="AH309" s="32">
        <f t="shared" si="289"/>
        <v>84.7470042249694</v>
      </c>
      <c r="AI309" s="32">
        <f t="shared" si="290"/>
        <v>1.55899622581686</v>
      </c>
      <c r="AJ309" s="32" t="str">
        <f t="shared" si="271"/>
        <v>1+0,800803433801871i</v>
      </c>
      <c r="AK309" s="32">
        <f t="shared" si="291"/>
        <v>1.28112690221885</v>
      </c>
      <c r="AL309" s="32">
        <f t="shared" si="292"/>
        <v>0.675230648918746</v>
      </c>
      <c r="AM309" s="32" t="str">
        <f t="shared" si="272"/>
        <v>1-0,236415789215768i</v>
      </c>
      <c r="AN309" s="32">
        <f t="shared" si="293"/>
        <v>1.02756626326019</v>
      </c>
      <c r="AO309" s="32">
        <f t="shared" si="294"/>
        <v>-0.232153230854037</v>
      </c>
      <c r="AP309" s="30" t="str">
        <f t="shared" si="295"/>
        <v>2,94859128182678-6,02879143512001i</v>
      </c>
      <c r="AQ309" s="32">
        <f t="shared" si="296"/>
        <v>16.536033642007</v>
      </c>
      <c r="AR309" s="31">
        <f t="shared" si="297"/>
        <v>-63.9374379634689</v>
      </c>
      <c r="AS309" t="str">
        <f t="shared" si="273"/>
        <v>-0,000201496259351621</v>
      </c>
      <c r="AT309" t="str">
        <f t="shared" si="274"/>
        <v>0,0114757992076072i</v>
      </c>
      <c r="AU309">
        <f t="shared" si="298"/>
        <v>0.0114757992076072</v>
      </c>
      <c r="AV309">
        <f t="shared" si="299"/>
        <v>1.5707963267949</v>
      </c>
      <c r="AW309" t="str">
        <f t="shared" si="275"/>
        <v>1+0,587539870728385i</v>
      </c>
      <c r="AX309">
        <f t="shared" si="300"/>
        <v>1.15982890966536</v>
      </c>
      <c r="AY309">
        <f t="shared" si="301"/>
        <v>0.531207258930514</v>
      </c>
      <c r="AZ309" t="str">
        <f t="shared" si="276"/>
        <v>1+28,0894061601421i</v>
      </c>
      <c r="BA309">
        <f t="shared" si="302"/>
        <v>28.107200828781</v>
      </c>
      <c r="BB309">
        <f t="shared" si="303"/>
        <v>1.53521074526081</v>
      </c>
      <c r="BC309" s="30" t="str">
        <f t="shared" si="304"/>
        <v>-0,358970164665686+0,228467648114577i</v>
      </c>
      <c r="BD309" s="32">
        <f t="shared" si="305"/>
        <v>-7.42184571099287</v>
      </c>
      <c r="BE309" s="31">
        <f t="shared" si="306"/>
        <v>147.525162383147</v>
      </c>
      <c r="BF309" s="30" t="str">
        <f t="shared" si="307"/>
        <v>0,659892974629227+0,25671105533433i</v>
      </c>
      <c r="BG309" s="68">
        <f t="shared" si="308"/>
        <v>-2.99850921296737</v>
      </c>
      <c r="BH309" s="31">
        <f t="shared" si="309"/>
        <v>21.2569920506985</v>
      </c>
      <c r="BI309" s="30" t="str">
        <f t="shared" si="316"/>
        <v>0,318927502186009+2,83781396961022i</v>
      </c>
      <c r="BJ309" s="68">
        <f t="shared" si="310"/>
        <v>9.11418793101411</v>
      </c>
      <c r="BK309" s="31">
        <f t="shared" si="317"/>
        <v>83.5877244196778</v>
      </c>
      <c r="BL309" s="32">
        <f t="shared" si="311"/>
        <v>-2.99850921296737</v>
      </c>
      <c r="BM309" s="31">
        <f t="shared" si="312"/>
        <v>21.2569920506985</v>
      </c>
      <c r="BO309">
        <f t="shared" si="313"/>
        <v>0</v>
      </c>
      <c r="BP309">
        <f t="shared" si="314"/>
        <v>0</v>
      </c>
    </row>
    <row r="310" spans="14:68">
      <c r="N310" s="7">
        <v>92</v>
      </c>
      <c r="O310" s="18">
        <f t="shared" si="315"/>
        <v>8317.63771102671</v>
      </c>
      <c r="P310" s="86" t="str">
        <f t="shared" si="265"/>
        <v>54,5454545454545</v>
      </c>
      <c r="Q310" s="4" t="str">
        <f t="shared" si="266"/>
        <v>1+106,422927532963i</v>
      </c>
      <c r="R310" s="4">
        <f t="shared" si="277"/>
        <v>106.427625664986</v>
      </c>
      <c r="S310" s="4">
        <f t="shared" si="278"/>
        <v>1.56140013188169</v>
      </c>
      <c r="T310" s="4" t="str">
        <f t="shared" si="267"/>
        <v>1+0,819456542003818i</v>
      </c>
      <c r="U310" s="4">
        <f t="shared" si="279"/>
        <v>1.29286852550167</v>
      </c>
      <c r="V310" s="4">
        <f t="shared" si="280"/>
        <v>0.686492606211644</v>
      </c>
      <c r="W310" t="str">
        <f t="shared" si="268"/>
        <v>1-2,35175665753647i</v>
      </c>
      <c r="X310" s="4">
        <f t="shared" si="281"/>
        <v>2.55553504696514</v>
      </c>
      <c r="Y310" s="4">
        <f t="shared" si="282"/>
        <v>-1.16874438131375</v>
      </c>
      <c r="Z310" t="str">
        <f t="shared" si="269"/>
        <v>0,99943524002374+0,16238319778228i</v>
      </c>
      <c r="AA310" s="4">
        <f t="shared" si="283"/>
        <v>1.0125409137034</v>
      </c>
      <c r="AB310" s="4">
        <f t="shared" si="284"/>
        <v>0.161067505851319</v>
      </c>
      <c r="AC310" s="67" t="str">
        <f t="shared" si="285"/>
        <v>-0,990551386741309-1,34743115744234i</v>
      </c>
      <c r="AD310" s="68">
        <f t="shared" si="286"/>
        <v>4.46655630336644</v>
      </c>
      <c r="AE310" s="31">
        <f t="shared" si="287"/>
        <v>-126.321117366013</v>
      </c>
      <c r="AF310" s="32" t="str">
        <f t="shared" si="288"/>
        <v>432,040091031901</v>
      </c>
      <c r="AG310" s="32" t="str">
        <f t="shared" si="270"/>
        <v>1+86,7149779898219i</v>
      </c>
      <c r="AH310" s="32">
        <f t="shared" si="289"/>
        <v>86.7207438147027</v>
      </c>
      <c r="AI310" s="32">
        <f t="shared" si="290"/>
        <v>1.55926480481963</v>
      </c>
      <c r="AJ310" s="32" t="str">
        <f t="shared" si="271"/>
        <v>1+0,819456542003818i</v>
      </c>
      <c r="AK310" s="32">
        <f t="shared" si="291"/>
        <v>1.29286852550167</v>
      </c>
      <c r="AL310" s="32">
        <f t="shared" si="292"/>
        <v>0.686492606211644</v>
      </c>
      <c r="AM310" s="32" t="str">
        <f t="shared" si="272"/>
        <v>1-0,241922620369019i</v>
      </c>
      <c r="AN310" s="32">
        <f t="shared" si="293"/>
        <v>1.02884719674314</v>
      </c>
      <c r="AO310" s="32">
        <f t="shared" si="294"/>
        <v>-0.237362094737519</v>
      </c>
      <c r="AP310" s="30" t="str">
        <f t="shared" si="295"/>
        <v>2,94590229928247-5,93604496533576i</v>
      </c>
      <c r="AQ310" s="32">
        <f t="shared" si="296"/>
        <v>16.4261259225837</v>
      </c>
      <c r="AR310" s="31">
        <f t="shared" si="297"/>
        <v>-63.6060097014357</v>
      </c>
      <c r="AS310" t="str">
        <f t="shared" si="273"/>
        <v>-0,000201496259351621</v>
      </c>
      <c r="AT310" t="str">
        <f t="shared" si="274"/>
        <v>0,0117431049099654i</v>
      </c>
      <c r="AU310">
        <f t="shared" si="298"/>
        <v>0.0117431049099654</v>
      </c>
      <c r="AV310">
        <f t="shared" si="299"/>
        <v>1.5707963267949</v>
      </c>
      <c r="AW310" t="str">
        <f t="shared" si="275"/>
        <v>1+0,601225432401895i</v>
      </c>
      <c r="AX310">
        <f t="shared" si="300"/>
        <v>1.1668213318957</v>
      </c>
      <c r="AY310">
        <f t="shared" si="301"/>
        <v>0.541320066388872</v>
      </c>
      <c r="AZ310" t="str">
        <f t="shared" si="276"/>
        <v>1+28,7436924810012i</v>
      </c>
      <c r="BA310">
        <f t="shared" si="302"/>
        <v>28.7610823412883</v>
      </c>
      <c r="BB310">
        <f t="shared" si="303"/>
        <v>1.53602011146452</v>
      </c>
      <c r="BC310" s="30" t="str">
        <f t="shared" si="304"/>
        <v>-0,354680647792857+0,230401712645935i</v>
      </c>
      <c r="BD310" s="32">
        <f t="shared" si="305"/>
        <v>-7.47430174979755</v>
      </c>
      <c r="BE310" s="31">
        <f t="shared" si="306"/>
        <v>146.992114464307</v>
      </c>
      <c r="BF310" s="30" t="str">
        <f t="shared" si="307"/>
        <v>0,66177985386873+0,249683019808925i</v>
      </c>
      <c r="BG310" s="68">
        <f t="shared" si="308"/>
        <v>-3.00774544643111</v>
      </c>
      <c r="BH310" s="31">
        <f t="shared" si="309"/>
        <v>20.6709970982942</v>
      </c>
      <c r="BI310" s="30" t="str">
        <f t="shared" si="316"/>
        <v>0,322820390512666+2,78414120867509i</v>
      </c>
      <c r="BJ310" s="68">
        <f t="shared" si="310"/>
        <v>8.95182417278617</v>
      </c>
      <c r="BK310" s="31">
        <f t="shared" si="317"/>
        <v>83.3861047628715</v>
      </c>
      <c r="BL310" s="32">
        <f t="shared" si="311"/>
        <v>-3.00774544643111</v>
      </c>
      <c r="BM310" s="31">
        <f t="shared" si="312"/>
        <v>20.6709970982942</v>
      </c>
      <c r="BO310">
        <f t="shared" si="313"/>
        <v>0</v>
      </c>
      <c r="BP310">
        <f t="shared" si="314"/>
        <v>0</v>
      </c>
    </row>
    <row r="311" spans="14:68">
      <c r="N311" s="7">
        <v>93</v>
      </c>
      <c r="O311" s="18">
        <f t="shared" si="315"/>
        <v>8511.38038202378</v>
      </c>
      <c r="P311" s="86" t="str">
        <f t="shared" si="265"/>
        <v>54,5454545454545</v>
      </c>
      <c r="Q311" s="4" t="str">
        <f t="shared" si="266"/>
        <v>1+108,901835962484i</v>
      </c>
      <c r="R311" s="4">
        <f t="shared" si="277"/>
        <v>108.906427156526</v>
      </c>
      <c r="S311" s="4">
        <f t="shared" si="278"/>
        <v>1.56161400322815</v>
      </c>
      <c r="T311" s="4" t="str">
        <f t="shared" si="267"/>
        <v>1+0,838544136911127i</v>
      </c>
      <c r="U311" s="4">
        <f t="shared" si="279"/>
        <v>1.30505029387684</v>
      </c>
      <c r="V311" s="4">
        <f t="shared" si="280"/>
        <v>0.697805634204507</v>
      </c>
      <c r="W311" t="str">
        <f t="shared" si="268"/>
        <v>1-2,40653610720668i</v>
      </c>
      <c r="X311" s="4">
        <f t="shared" si="281"/>
        <v>2.60603454222876</v>
      </c>
      <c r="Y311" s="4">
        <f t="shared" si="282"/>
        <v>-1.17696984809905</v>
      </c>
      <c r="Z311" t="str">
        <f t="shared" si="269"/>
        <v>0,999408623706061+0,166165588354747i</v>
      </c>
      <c r="AA311" s="4">
        <f t="shared" si="283"/>
        <v>1.01312812609824</v>
      </c>
      <c r="AB311" s="4">
        <f t="shared" si="284"/>
        <v>0.164756783301398</v>
      </c>
      <c r="AC311" s="67" t="str">
        <f t="shared" si="285"/>
        <v>-0,996962223295003-1,35383661709128i</v>
      </c>
      <c r="AD311" s="68">
        <f t="shared" si="286"/>
        <v>4.51296198098772</v>
      </c>
      <c r="AE311" s="31">
        <f t="shared" si="287"/>
        <v>-126.367847092685</v>
      </c>
      <c r="AF311" s="32" t="str">
        <f t="shared" si="288"/>
        <v>432,040091031901</v>
      </c>
      <c r="AG311" s="32" t="str">
        <f t="shared" si="270"/>
        <v>1+88,7348293027647i</v>
      </c>
      <c r="AH311" s="32">
        <f t="shared" si="289"/>
        <v>88.7404638898783</v>
      </c>
      <c r="AI311" s="32">
        <f t="shared" si="290"/>
        <v>1.55952727182555</v>
      </c>
      <c r="AJ311" s="32" t="str">
        <f t="shared" si="271"/>
        <v>1+0,838544136911127i</v>
      </c>
      <c r="AK311" s="32">
        <f t="shared" si="291"/>
        <v>1.30505029387684</v>
      </c>
      <c r="AL311" s="32">
        <f t="shared" si="292"/>
        <v>0.697805634204507</v>
      </c>
      <c r="AM311" s="32" t="str">
        <f t="shared" si="272"/>
        <v>1-0,247557722097815i</v>
      </c>
      <c r="AN311" s="32">
        <f t="shared" si="293"/>
        <v>1.0301867916889</v>
      </c>
      <c r="AO311" s="32">
        <f t="shared" si="294"/>
        <v>-0.242678731019355</v>
      </c>
      <c r="AP311" s="30" t="str">
        <f t="shared" si="295"/>
        <v>2,94333430942762-5,84644307347051i</v>
      </c>
      <c r="AQ311" s="32">
        <f t="shared" si="296"/>
        <v>16.31891160826</v>
      </c>
      <c r="AR311" s="31">
        <f t="shared" si="297"/>
        <v>-63.2774800157872</v>
      </c>
      <c r="AS311" t="str">
        <f t="shared" si="273"/>
        <v>-0,000201496259351621</v>
      </c>
      <c r="AT311" t="str">
        <f t="shared" si="274"/>
        <v>0,0120166369619853i</v>
      </c>
      <c r="AU311">
        <f t="shared" si="298"/>
        <v>0.0120166369619853</v>
      </c>
      <c r="AV311">
        <f t="shared" si="299"/>
        <v>1.5707963267949</v>
      </c>
      <c r="AW311" t="str">
        <f t="shared" si="275"/>
        <v>1+0,615229771757827i</v>
      </c>
      <c r="AX311">
        <f t="shared" si="300"/>
        <v>1.17409866368086</v>
      </c>
      <c r="AY311">
        <f t="shared" si="301"/>
        <v>0.551542663294312</v>
      </c>
      <c r="AZ311" t="str">
        <f t="shared" si="276"/>
        <v>1+29,4132190880816i</v>
      </c>
      <c r="BA311">
        <f t="shared" si="302"/>
        <v>29.430213338056</v>
      </c>
      <c r="BB311">
        <f t="shared" si="303"/>
        <v>1.53681109829022</v>
      </c>
      <c r="BC311" s="30" t="str">
        <f t="shared" si="304"/>
        <v>-0,350297490536176+0,23228155256541i</v>
      </c>
      <c r="BD311" s="32">
        <f t="shared" si="305"/>
        <v>-7.52854272174164</v>
      </c>
      <c r="BE311" s="31">
        <f t="shared" si="306"/>
        <v>146.451723012725</v>
      </c>
      <c r="BF311" s="30" t="str">
        <f t="shared" si="307"/>
        <v>0,663704636317471+0,242669636487035i</v>
      </c>
      <c r="BG311" s="68">
        <f t="shared" si="308"/>
        <v>-3.01558074075393</v>
      </c>
      <c r="BH311" s="31">
        <f t="shared" si="309"/>
        <v>20.0838759200405</v>
      </c>
      <c r="BI311" s="30" t="str">
        <f t="shared" si="316"/>
        <v>0,326978251689494+2,73167660031221i</v>
      </c>
      <c r="BJ311" s="68">
        <f t="shared" si="310"/>
        <v>8.79036888651839</v>
      </c>
      <c r="BK311" s="31">
        <f t="shared" si="317"/>
        <v>83.1742429969382</v>
      </c>
      <c r="BL311" s="32">
        <f t="shared" si="311"/>
        <v>-3.01558074075393</v>
      </c>
      <c r="BM311" s="31">
        <f t="shared" si="312"/>
        <v>20.0838759200405</v>
      </c>
      <c r="BO311">
        <f t="shared" si="313"/>
        <v>0</v>
      </c>
      <c r="BP311">
        <f t="shared" si="314"/>
        <v>0</v>
      </c>
    </row>
    <row r="312" spans="14:68">
      <c r="N312" s="7">
        <v>94</v>
      </c>
      <c r="O312" s="18">
        <f t="shared" si="315"/>
        <v>8709.63589956082</v>
      </c>
      <c r="P312" s="86" t="str">
        <f t="shared" si="265"/>
        <v>54,5454545454545</v>
      </c>
      <c r="Q312" s="4" t="str">
        <f t="shared" si="266"/>
        <v>1+111,438485586918i</v>
      </c>
      <c r="R312" s="4">
        <f t="shared" si="277"/>
        <v>111.442972276881</v>
      </c>
      <c r="S312" s="4">
        <f t="shared" si="278"/>
        <v>1.56182300708013</v>
      </c>
      <c r="T312" s="4" t="str">
        <f t="shared" si="267"/>
        <v>1+0,858076339019269i</v>
      </c>
      <c r="U312" s="4">
        <f t="shared" si="279"/>
        <v>1.31768547217639</v>
      </c>
      <c r="V312" s="4">
        <f t="shared" si="280"/>
        <v>0.709164148826621</v>
      </c>
      <c r="W312" t="str">
        <f t="shared" si="268"/>
        <v>1-2,4625915341752i</v>
      </c>
      <c r="X312" s="4">
        <f t="shared" si="281"/>
        <v>2.65788582602627</v>
      </c>
      <c r="Y312" s="4">
        <f t="shared" si="282"/>
        <v>-1.1850627805709</v>
      </c>
      <c r="Z312" t="str">
        <f t="shared" si="269"/>
        <v>0,999380752999976+0,170036082121621i</v>
      </c>
      <c r="AA312" s="4">
        <f t="shared" si="283"/>
        <v>1.01374264914231</v>
      </c>
      <c r="AB312" s="4">
        <f t="shared" si="284"/>
        <v>0.168527622783363</v>
      </c>
      <c r="AC312" s="67" t="str">
        <f t="shared" si="285"/>
        <v>-1,00363955067394-1,36086735262141i</v>
      </c>
      <c r="AD312" s="68">
        <f t="shared" si="286"/>
        <v>4.56252478994178</v>
      </c>
      <c r="AE312" s="31">
        <f t="shared" si="287"/>
        <v>-126.40877124398</v>
      </c>
      <c r="AF312" s="32" t="str">
        <f t="shared" si="288"/>
        <v>432,040091031901</v>
      </c>
      <c r="AG312" s="32" t="str">
        <f t="shared" si="270"/>
        <v>1+90,801728996748i</v>
      </c>
      <c r="AH312" s="32">
        <f t="shared" si="289"/>
        <v>90.807235332868</v>
      </c>
      <c r="AI312" s="32">
        <f t="shared" si="290"/>
        <v>1.55978376585336</v>
      </c>
      <c r="AJ312" s="32" t="str">
        <f t="shared" si="271"/>
        <v>1+0,858076339019269i</v>
      </c>
      <c r="AK312" s="32">
        <f t="shared" si="291"/>
        <v>1.31768547217639</v>
      </c>
      <c r="AL312" s="32">
        <f t="shared" si="292"/>
        <v>0.709164148826621</v>
      </c>
      <c r="AM312" s="32" t="str">
        <f t="shared" si="272"/>
        <v>1-0,25332408220768i</v>
      </c>
      <c r="AN312" s="32">
        <f t="shared" si="293"/>
        <v>1.0315876553286</v>
      </c>
      <c r="AO312" s="32">
        <f t="shared" si="294"/>
        <v>-0.248104755863065</v>
      </c>
      <c r="AP312" s="30" t="str">
        <f t="shared" si="295"/>
        <v>2,94088186946189-5,75993843770194i</v>
      </c>
      <c r="AQ312" s="32">
        <f t="shared" si="296"/>
        <v>16.2144297903476</v>
      </c>
      <c r="AR312" s="31">
        <f t="shared" si="297"/>
        <v>-62.9522694147438</v>
      </c>
      <c r="AS312" t="str">
        <f t="shared" si="273"/>
        <v>-0,000201496259351621</v>
      </c>
      <c r="AT312" t="str">
        <f t="shared" si="274"/>
        <v>0,0122965403939815i</v>
      </c>
      <c r="AU312">
        <f t="shared" si="298"/>
        <v>0.0122965403939815</v>
      </c>
      <c r="AV312">
        <f t="shared" si="299"/>
        <v>1.5707963267949</v>
      </c>
      <c r="AW312" t="str">
        <f t="shared" si="275"/>
        <v>1+0,629560314082272i</v>
      </c>
      <c r="AX312">
        <f t="shared" si="300"/>
        <v>1.1816709309564</v>
      </c>
      <c r="AY312">
        <f t="shared" si="301"/>
        <v>0.561871923147491</v>
      </c>
      <c r="AZ312" t="str">
        <f t="shared" si="276"/>
        <v>1+30,0983409732524i</v>
      </c>
      <c r="BA312">
        <f t="shared" si="302"/>
        <v>30.1149486026818</v>
      </c>
      <c r="BB312">
        <f t="shared" si="303"/>
        <v>1.53758412116825</v>
      </c>
      <c r="BC312" s="30" t="str">
        <f t="shared" si="304"/>
        <v>-0,345822391314737+0,234102471984198i</v>
      </c>
      <c r="BD312" s="32">
        <f t="shared" si="305"/>
        <v>-7.58460756732883</v>
      </c>
      <c r="BE312" s="31">
        <f t="shared" si="306"/>
        <v>145.904190966022</v>
      </c>
      <c r="BF312" s="30" t="str">
        <f t="shared" si="307"/>
        <v>0,665663440723373+0,235663902351812i</v>
      </c>
      <c r="BG312" s="68">
        <f t="shared" si="308"/>
        <v>-3.02208277738705</v>
      </c>
      <c r="BH312" s="31">
        <f t="shared" si="309"/>
        <v>19.495419722042</v>
      </c>
      <c r="BI312" s="30" t="str">
        <f t="shared" si="316"/>
        <v>0,331393026071358+2,68038339980629i</v>
      </c>
      <c r="BJ312" s="68">
        <f t="shared" si="310"/>
        <v>8.62982222301874</v>
      </c>
      <c r="BK312" s="31">
        <f t="shared" si="317"/>
        <v>82.9519215512783</v>
      </c>
      <c r="BL312" s="32">
        <f t="shared" si="311"/>
        <v>-3.02208277738705</v>
      </c>
      <c r="BM312" s="31">
        <f t="shared" si="312"/>
        <v>19.495419722042</v>
      </c>
      <c r="BO312">
        <f t="shared" si="313"/>
        <v>0</v>
      </c>
      <c r="BP312">
        <f t="shared" si="314"/>
        <v>0</v>
      </c>
    </row>
    <row r="313" spans="14:68">
      <c r="N313" s="7">
        <v>95</v>
      </c>
      <c r="O313" s="18">
        <f t="shared" si="315"/>
        <v>8912.50938133747</v>
      </c>
      <c r="P313" s="86" t="str">
        <f t="shared" si="265"/>
        <v>54,5454545454545</v>
      </c>
      <c r="Q313" s="4" t="str">
        <f t="shared" si="266"/>
        <v>1+114,034221371473i</v>
      </c>
      <c r="R313" s="4">
        <f t="shared" si="277"/>
        <v>114.038605935876</v>
      </c>
      <c r="S313" s="4">
        <f t="shared" si="278"/>
        <v>1.56202725418116</v>
      </c>
      <c r="T313" s="4" t="str">
        <f t="shared" si="267"/>
        <v>1+0,878063504560343i</v>
      </c>
      <c r="U313" s="4">
        <f t="shared" si="279"/>
        <v>1.33078755556279</v>
      </c>
      <c r="V313" s="4">
        <f t="shared" si="280"/>
        <v>0.720562449913858</v>
      </c>
      <c r="W313" t="str">
        <f t="shared" si="268"/>
        <v>1-2,51995265977139i</v>
      </c>
      <c r="X313" s="4">
        <f t="shared" si="281"/>
        <v>2.71111811020636</v>
      </c>
      <c r="Y313" s="4">
        <f t="shared" si="282"/>
        <v>-1.19302322825362</v>
      </c>
      <c r="Z313" t="str">
        <f t="shared" si="269"/>
        <v>0,99935156878798+0,173996731269929i</v>
      </c>
      <c r="AA313" s="4">
        <f t="shared" si="283"/>
        <v>1.01438573557184</v>
      </c>
      <c r="AB313" s="4">
        <f t="shared" si="284"/>
        <v>0.172381622768842</v>
      </c>
      <c r="AC313" s="67" t="str">
        <f t="shared" si="285"/>
        <v>-1,01059541990382-1,36852085762079i</v>
      </c>
      <c r="AD313" s="68">
        <f t="shared" si="286"/>
        <v>4.61521402495865</v>
      </c>
      <c r="AE313" s="31">
        <f t="shared" si="287"/>
        <v>-126.444317183594</v>
      </c>
      <c r="AF313" s="32" t="str">
        <f t="shared" si="288"/>
        <v>432,040091031901</v>
      </c>
      <c r="AG313" s="32" t="str">
        <f t="shared" si="270"/>
        <v>1+92,9167729693483i</v>
      </c>
      <c r="AH313" s="32">
        <f t="shared" si="289"/>
        <v>92.9221539732986</v>
      </c>
      <c r="AI313" s="32">
        <f t="shared" si="290"/>
        <v>1.56003442276451</v>
      </c>
      <c r="AJ313" s="32" t="str">
        <f t="shared" si="271"/>
        <v>1+0,878063504560343i</v>
      </c>
      <c r="AK313" s="32">
        <f t="shared" si="291"/>
        <v>1.33078755556279</v>
      </c>
      <c r="AL313" s="32">
        <f t="shared" si="292"/>
        <v>0.720562449913858</v>
      </c>
      <c r="AM313" s="32" t="str">
        <f t="shared" si="272"/>
        <v>1-0,259224758099072i</v>
      </c>
      <c r="AN313" s="32">
        <f t="shared" si="293"/>
        <v>1.03305250360837</v>
      </c>
      <c r="AO313" s="32">
        <f t="shared" si="294"/>
        <v>-0.253641767659757</v>
      </c>
      <c r="AP313" s="30" t="str">
        <f t="shared" si="295"/>
        <v>2,93853978130785-5,6764853659852i</v>
      </c>
      <c r="AQ313" s="32">
        <f t="shared" si="296"/>
        <v>16.1127181230191</v>
      </c>
      <c r="AR313" s="31">
        <f t="shared" si="297"/>
        <v>-62.6308038590053</v>
      </c>
      <c r="AS313" t="str">
        <f t="shared" si="273"/>
        <v>-0,000201496259351621</v>
      </c>
      <c r="AT313" t="str">
        <f t="shared" si="274"/>
        <v>0,0125829636144585i</v>
      </c>
      <c r="AU313">
        <f t="shared" si="298"/>
        <v>0.0125829636144585</v>
      </c>
      <c r="AV313">
        <f t="shared" si="299"/>
        <v>1.5707963267949</v>
      </c>
      <c r="AW313" t="str">
        <f t="shared" si="275"/>
        <v>1+0,644224657618459i</v>
      </c>
      <c r="AX313">
        <f t="shared" si="300"/>
        <v>1.18954840569168</v>
      </c>
      <c r="AY313">
        <f t="shared" si="301"/>
        <v>0.572304505770327</v>
      </c>
      <c r="AZ313" t="str">
        <f t="shared" si="276"/>
        <v>1+30,7994213972059i</v>
      </c>
      <c r="BA313">
        <f t="shared" si="302"/>
        <v>30.815651192254</v>
      </c>
      <c r="BB313">
        <f t="shared" si="303"/>
        <v>1.53833958626798</v>
      </c>
      <c r="BC313" s="30" t="str">
        <f t="shared" si="304"/>
        <v>-0,341257319458818+0,235859798051563i</v>
      </c>
      <c r="BD313" s="32">
        <f t="shared" si="305"/>
        <v>-7.64253444528732</v>
      </c>
      <c r="BE313" s="31">
        <f t="shared" si="306"/>
        <v>145.349732974096</v>
      </c>
      <c r="BF313" s="30" t="str">
        <f t="shared" si="307"/>
        <v>0,667652137161528+0,228658927844804i</v>
      </c>
      <c r="BG313" s="68">
        <f t="shared" si="308"/>
        <v>-3.02732042032866</v>
      </c>
      <c r="BH313" s="31">
        <f t="shared" si="309"/>
        <v>18.9054157905022</v>
      </c>
      <c r="BI313" s="30" t="str">
        <f t="shared" si="316"/>
        <v>0,336056483171704+2,63022557932907i</v>
      </c>
      <c r="BJ313" s="68">
        <f t="shared" si="310"/>
        <v>8.47018367773173</v>
      </c>
      <c r="BK313" s="31">
        <f t="shared" si="317"/>
        <v>82.7189291150911</v>
      </c>
      <c r="BL313" s="32">
        <f t="shared" si="311"/>
        <v>-3.02732042032866</v>
      </c>
      <c r="BM313" s="31">
        <f t="shared" si="312"/>
        <v>18.9054157905022</v>
      </c>
      <c r="BO313">
        <f t="shared" si="313"/>
        <v>0</v>
      </c>
      <c r="BP313">
        <f t="shared" si="314"/>
        <v>0</v>
      </c>
    </row>
    <row r="314" spans="14:68">
      <c r="N314" s="7">
        <v>96</v>
      </c>
      <c r="O314" s="18">
        <f t="shared" si="315"/>
        <v>9120.10839355911</v>
      </c>
      <c r="P314" s="86" t="str">
        <f t="shared" si="265"/>
        <v>54,5454545454545</v>
      </c>
      <c r="Q314" s="4" t="str">
        <f t="shared" si="266"/>
        <v>1+116,69041960962i</v>
      </c>
      <c r="R314" s="4">
        <f t="shared" si="277"/>
        <v>116.69470437286</v>
      </c>
      <c r="S314" s="4">
        <f t="shared" si="278"/>
        <v>1.56222685275755</v>
      </c>
      <c r="T314" s="4" t="str">
        <f t="shared" si="267"/>
        <v>1+0,898516230994079i</v>
      </c>
      <c r="U314" s="4">
        <f t="shared" si="279"/>
        <v>1.34437026795441</v>
      </c>
      <c r="V314" s="4">
        <f t="shared" si="280"/>
        <v>0.731994734833681</v>
      </c>
      <c r="W314" t="str">
        <f t="shared" si="268"/>
        <v>1-2,57864989762331i</v>
      </c>
      <c r="X314" s="4">
        <f t="shared" si="281"/>
        <v>2.76576125045397</v>
      </c>
      <c r="Y314" s="4">
        <f t="shared" si="282"/>
        <v>-1.20085137529537</v>
      </c>
      <c r="Z314" t="str">
        <f t="shared" si="269"/>
        <v>0,999321009166447+0,178049635788276i</v>
      </c>
      <c r="AA314" s="4">
        <f t="shared" si="283"/>
        <v>1.01505869395113</v>
      </c>
      <c r="AB314" s="4">
        <f t="shared" si="284"/>
        <v>0.176320398747767</v>
      </c>
      <c r="AC314" s="67" t="str">
        <f t="shared" si="285"/>
        <v>-1,01784228053677-1,37679455019886i</v>
      </c>
      <c r="AD314" s="68">
        <f t="shared" si="286"/>
        <v>4.67099697110906</v>
      </c>
      <c r="AE314" s="31">
        <f t="shared" si="287"/>
        <v>-126.474926690461</v>
      </c>
      <c r="AF314" s="32" t="str">
        <f t="shared" si="288"/>
        <v>432,040091031901</v>
      </c>
      <c r="AG314" s="32" t="str">
        <f t="shared" si="270"/>
        <v>1+95,0810826448759i</v>
      </c>
      <c r="AH314" s="32">
        <f t="shared" si="289"/>
        <v>95.086341169075</v>
      </c>
      <c r="AI314" s="32">
        <f t="shared" si="290"/>
        <v>1.56027937533456</v>
      </c>
      <c r="AJ314" s="32" t="str">
        <f t="shared" si="271"/>
        <v>1+0,898516230994079i</v>
      </c>
      <c r="AK314" s="32">
        <f t="shared" si="291"/>
        <v>1.34437026795441</v>
      </c>
      <c r="AL314" s="32">
        <f t="shared" si="292"/>
        <v>0.731994734833681</v>
      </c>
      <c r="AM314" s="32" t="str">
        <f t="shared" si="272"/>
        <v>1-0,265262878388454i</v>
      </c>
      <c r="AN314" s="32">
        <f t="shared" si="293"/>
        <v>1.03458416508805</v>
      </c>
      <c r="AO314" s="32">
        <f t="shared" si="294"/>
        <v>-0.259291343582722</v>
      </c>
      <c r="AP314" s="30" t="str">
        <f t="shared" si="295"/>
        <v>2,93630308061803-5,59603977265532i</v>
      </c>
      <c r="AQ314" s="32">
        <f t="shared" si="296"/>
        <v>16.0138127696587</v>
      </c>
      <c r="AR314" s="31">
        <f t="shared" si="297"/>
        <v>-62.3135137877776</v>
      </c>
      <c r="AS314" t="str">
        <f t="shared" si="273"/>
        <v>-0,000201496259351621</v>
      </c>
      <c r="AT314" t="str">
        <f t="shared" si="274"/>
        <v>0,0128760584887991i</v>
      </c>
      <c r="AU314">
        <f t="shared" si="298"/>
        <v>0.0128760584887991</v>
      </c>
      <c r="AV314">
        <f t="shared" si="299"/>
        <v>1.5707963267949</v>
      </c>
      <c r="AW314" t="str">
        <f t="shared" si="275"/>
        <v>1+0,659230577595437i</v>
      </c>
      <c r="AX314">
        <f t="shared" si="300"/>
        <v>1.19774160587199</v>
      </c>
      <c r="AY314">
        <f t="shared" si="301"/>
        <v>0.58283685862589</v>
      </c>
      <c r="AZ314" t="str">
        <f t="shared" si="276"/>
        <v>1+31,5168320820627i</v>
      </c>
      <c r="BA314">
        <f t="shared" si="302"/>
        <v>31.5326926298554</v>
      </c>
      <c r="BB314">
        <f t="shared" si="303"/>
        <v>1.53907789069574</v>
      </c>
      <c r="BC314" s="30" t="str">
        <f t="shared" si="304"/>
        <v>-0,336604518758575+0,237548899684191i</v>
      </c>
      <c r="BD314" s="32">
        <f t="shared" si="305"/>
        <v>-7.70236062057924</v>
      </c>
      <c r="BE314" s="31">
        <f t="shared" si="306"/>
        <v>144.788575334836</v>
      </c>
      <c r="BF314" s="30" t="str">
        <f t="shared" si="307"/>
        <v>0,66966634150314+0,221647953205559i</v>
      </c>
      <c r="BG314" s="68">
        <f t="shared" si="308"/>
        <v>-3.03136364947017</v>
      </c>
      <c r="BH314" s="31">
        <f t="shared" si="309"/>
        <v>18.3136486443751</v>
      </c>
      <c r="BI314" s="30" t="str">
        <f t="shared" si="316"/>
        <v>0,340960205202488+2,5811678405686i</v>
      </c>
      <c r="BJ314" s="68">
        <f t="shared" si="310"/>
        <v>8.31145214907947</v>
      </c>
      <c r="BK314" s="31">
        <f t="shared" si="317"/>
        <v>82.4750615470588</v>
      </c>
      <c r="BL314" s="32">
        <f t="shared" si="311"/>
        <v>-3.03136364947017</v>
      </c>
      <c r="BM314" s="31">
        <f t="shared" si="312"/>
        <v>18.3136486443751</v>
      </c>
      <c r="BO314">
        <f t="shared" si="313"/>
        <v>0</v>
      </c>
      <c r="BP314">
        <f t="shared" si="314"/>
        <v>0</v>
      </c>
    </row>
    <row r="315" spans="14:68">
      <c r="N315" s="7">
        <v>97</v>
      </c>
      <c r="O315" s="18">
        <f t="shared" si="315"/>
        <v>9332.54300796992</v>
      </c>
      <c r="P315" s="86" t="str">
        <f t="shared" si="265"/>
        <v>54,5454545454545</v>
      </c>
      <c r="Q315" s="4" t="str">
        <f t="shared" si="266"/>
        <v>1+119,408488652825i</v>
      </c>
      <c r="R315" s="4">
        <f t="shared" si="277"/>
        <v>119.412675886406</v>
      </c>
      <c r="S315" s="4">
        <f t="shared" si="278"/>
        <v>1.56242190857545</v>
      </c>
      <c r="T315" s="4" t="str">
        <f t="shared" si="267"/>
        <v>1+0,919445362626756i</v>
      </c>
      <c r="U315" s="4">
        <f t="shared" si="279"/>
        <v>1.35844756058372</v>
      </c>
      <c r="V315" s="4">
        <f t="shared" si="280"/>
        <v>0.743455112744979</v>
      </c>
      <c r="W315" t="str">
        <f t="shared" si="268"/>
        <v>1-2,63871436978342i</v>
      </c>
      <c r="X315" s="4">
        <f t="shared" si="281"/>
        <v>2.82184576568272</v>
      </c>
      <c r="Y315" s="4">
        <f t="shared" si="282"/>
        <v>-1.20854753359147</v>
      </c>
      <c r="Z315" t="str">
        <f t="shared" si="269"/>
        <v>0,999289009314322+0,182196944580284i</v>
      </c>
      <c r="AA315" s="4">
        <f t="shared" si="283"/>
        <v>1.01576289100892</v>
      </c>
      <c r="AB315" s="4">
        <f t="shared" si="284"/>
        <v>0.18034558233424</v>
      </c>
      <c r="AC315" s="67" t="str">
        <f t="shared" si="285"/>
        <v>-1,02539299011816-1,38568574748961i</v>
      </c>
      <c r="AD315" s="68">
        <f t="shared" si="286"/>
        <v>4.72983886214087</v>
      </c>
      <c r="AE315" s="31">
        <f t="shared" si="287"/>
        <v>-126.501054699755</v>
      </c>
      <c r="AF315" s="32" t="str">
        <f t="shared" si="288"/>
        <v>432,040091031901</v>
      </c>
      <c r="AG315" s="32" t="str">
        <f t="shared" si="270"/>
        <v>1+97,2958055689688i</v>
      </c>
      <c r="AH315" s="32">
        <f t="shared" si="289"/>
        <v>97.3009444009388</v>
      </c>
      <c r="AI315" s="32">
        <f t="shared" si="290"/>
        <v>1.56051875332296</v>
      </c>
      <c r="AJ315" s="32" t="str">
        <f t="shared" si="271"/>
        <v>1+0,919445362626756i</v>
      </c>
      <c r="AK315" s="32">
        <f t="shared" si="291"/>
        <v>1.35844756058372</v>
      </c>
      <c r="AL315" s="32">
        <f t="shared" si="292"/>
        <v>0.743455112744979</v>
      </c>
      <c r="AM315" s="32" t="str">
        <f t="shared" si="272"/>
        <v>1-0,271441644567127i</v>
      </c>
      <c r="AN315" s="32">
        <f t="shared" si="293"/>
        <v>1.03618558492449</v>
      </c>
      <c r="AO315" s="32">
        <f t="shared" si="294"/>
        <v>-0.265055035941403</v>
      </c>
      <c r="AP315" s="30" t="str">
        <f t="shared" si="295"/>
        <v>2,93416702627486-5,5185591558262i</v>
      </c>
      <c r="AQ315" s="32">
        <f t="shared" si="296"/>
        <v>15.9177483568587</v>
      </c>
      <c r="AR315" s="31">
        <f t="shared" si="297"/>
        <v>-62.000833096843</v>
      </c>
      <c r="AS315" t="str">
        <f t="shared" si="273"/>
        <v>-0,000201496259351621</v>
      </c>
      <c r="AT315" t="str">
        <f t="shared" si="274"/>
        <v>0,0131759804197852i</v>
      </c>
      <c r="AU315">
        <f t="shared" si="298"/>
        <v>0.0131759804197852</v>
      </c>
      <c r="AV315">
        <f t="shared" si="299"/>
        <v>1.5707963267949</v>
      </c>
      <c r="AW315" t="str">
        <f t="shared" si="275"/>
        <v>1+0,674586030350605i</v>
      </c>
      <c r="AX315">
        <f t="shared" si="300"/>
        <v>1.20626129521932</v>
      </c>
      <c r="AY315">
        <f t="shared" si="301"/>
        <v>0.593465219053373</v>
      </c>
      <c r="AZ315" t="str">
        <f t="shared" si="276"/>
        <v>1+32,250953408464i</v>
      </c>
      <c r="BA315">
        <f t="shared" si="302"/>
        <v>32.266453101556</v>
      </c>
      <c r="BB315">
        <f t="shared" si="303"/>
        <v>1.53979942268891</v>
      </c>
      <c r="BC315" s="30" t="str">
        <f t="shared" si="304"/>
        <v>-0,331866509525975+0,239165206985858i</v>
      </c>
      <c r="BD315" s="32">
        <f t="shared" si="305"/>
        <v>-7.76412235120003</v>
      </c>
      <c r="BE315" s="31">
        <f t="shared" si="306"/>
        <v>144.22095587719</v>
      </c>
      <c r="BF315" s="30" t="str">
        <f t="shared" si="307"/>
        <v>0,671701411138622+0,214624365595811i</v>
      </c>
      <c r="BG315" s="68">
        <f t="shared" si="308"/>
        <v>-3.03428348905916</v>
      </c>
      <c r="BH315" s="31">
        <f t="shared" si="309"/>
        <v>17.7199011774345</v>
      </c>
      <c r="BI315" s="30" t="str">
        <f t="shared" si="316"/>
        <v>0,346095573390827+2,53317562882676i</v>
      </c>
      <c r="BJ315" s="68">
        <f t="shared" si="310"/>
        <v>8.15362600565865</v>
      </c>
      <c r="BK315" s="31">
        <f t="shared" si="317"/>
        <v>82.2201227803469</v>
      </c>
      <c r="BL315" s="32">
        <f t="shared" si="311"/>
        <v>-3.03428348905916</v>
      </c>
      <c r="BM315" s="31">
        <f t="shared" si="312"/>
        <v>17.7199011774345</v>
      </c>
      <c r="BO315">
        <f t="shared" si="313"/>
        <v>0</v>
      </c>
      <c r="BP315">
        <f t="shared" si="314"/>
        <v>0</v>
      </c>
    </row>
    <row r="316" spans="14:68">
      <c r="N316" s="7">
        <v>98</v>
      </c>
      <c r="O316" s="18">
        <f t="shared" si="315"/>
        <v>9549.92586021437</v>
      </c>
      <c r="P316" s="86" t="str">
        <f t="shared" si="265"/>
        <v>54,5454545454545</v>
      </c>
      <c r="Q316" s="4" t="str">
        <f t="shared" si="266"/>
        <v>1+122,189869657272i</v>
      </c>
      <c r="R316" s="4">
        <f t="shared" si="277"/>
        <v>122.193961581009</v>
      </c>
      <c r="S316" s="4">
        <f t="shared" si="278"/>
        <v>1.56261252499664</v>
      </c>
      <c r="T316" s="4" t="str">
        <f t="shared" si="267"/>
        <v>1+0,940861996360996i</v>
      </c>
      <c r="U316" s="4">
        <f t="shared" si="279"/>
        <v>1.37303361073078</v>
      </c>
      <c r="V316" s="4">
        <f t="shared" si="280"/>
        <v>0.754937619410716</v>
      </c>
      <c r="W316" t="str">
        <f t="shared" si="268"/>
        <v>1-2,7001779232299i</v>
      </c>
      <c r="X316" s="4">
        <f t="shared" si="281"/>
        <v>2.87940285772904</v>
      </c>
      <c r="Y316" s="4">
        <f t="shared" si="282"/>
        <v>-1.21611213593234</v>
      </c>
      <c r="Z316" t="str">
        <f t="shared" si="269"/>
        <v>0,999255501355628+0,186440856603969i</v>
      </c>
      <c r="AA316" s="4">
        <f t="shared" si="283"/>
        <v>1.01649975405836</v>
      </c>
      <c r="AB316" s="4">
        <f t="shared" si="284"/>
        <v>0.184458820276882</v>
      </c>
      <c r="AC316" s="67" t="str">
        <f t="shared" si="285"/>
        <v>-1,03326082310822-1,39519163889526i</v>
      </c>
      <c r="AD316" s="68">
        <f t="shared" si="286"/>
        <v>4.79170284319195</v>
      </c>
      <c r="AE316" s="31">
        <f t="shared" si="287"/>
        <v>-126.523168008091</v>
      </c>
      <c r="AF316" s="32" t="str">
        <f t="shared" si="288"/>
        <v>432,040091031901</v>
      </c>
      <c r="AG316" s="32" t="str">
        <f t="shared" si="270"/>
        <v>1+99,5621160170365i</v>
      </c>
      <c r="AH316" s="32">
        <f t="shared" si="289"/>
        <v>99.5671378808783</v>
      </c>
      <c r="AI316" s="32">
        <f t="shared" si="290"/>
        <v>1.56075268354128</v>
      </c>
      <c r="AJ316" s="32" t="str">
        <f t="shared" si="271"/>
        <v>1+0,940861996360996i</v>
      </c>
      <c r="AK316" s="32">
        <f t="shared" si="291"/>
        <v>1.37303361073078</v>
      </c>
      <c r="AL316" s="32">
        <f t="shared" si="292"/>
        <v>0.754937619410716</v>
      </c>
      <c r="AM316" s="32" t="str">
        <f t="shared" si="272"/>
        <v>1-0,277764332698705i</v>
      </c>
      <c r="AN316" s="32">
        <f t="shared" si="293"/>
        <v>1.03785982893624</v>
      </c>
      <c r="AO316" s="32">
        <f t="shared" si="294"/>
        <v>-0.270934368330617</v>
      </c>
      <c r="AP316" s="30" t="str">
        <f t="shared" si="295"/>
        <v>2,93212709036157-5,44400257557765i</v>
      </c>
      <c r="AQ316" s="32">
        <f t="shared" si="296"/>
        <v>15.8245579364566</v>
      </c>
      <c r="AR316" s="31">
        <f t="shared" si="297"/>
        <v>-61.6931980731322</v>
      </c>
      <c r="AS316" t="str">
        <f t="shared" si="273"/>
        <v>-0,000201496259351621</v>
      </c>
      <c r="AT316" t="str">
        <f t="shared" si="274"/>
        <v>0,0134828884299946i</v>
      </c>
      <c r="AU316">
        <f t="shared" si="298"/>
        <v>0.0134828884299946</v>
      </c>
      <c r="AV316">
        <f t="shared" si="299"/>
        <v>1.5707963267949</v>
      </c>
      <c r="AW316" t="str">
        <f t="shared" si="275"/>
        <v>1+0,690299157548266i</v>
      </c>
      <c r="AX316">
        <f t="shared" si="300"/>
        <v>1.21511848266408</v>
      </c>
      <c r="AY316">
        <f t="shared" si="301"/>
        <v>0.604185617447938</v>
      </c>
      <c r="AZ316" t="str">
        <f t="shared" si="276"/>
        <v>1+33,0021746172543i</v>
      </c>
      <c r="BA316">
        <f t="shared" si="302"/>
        <v>33.0173216579986</v>
      </c>
      <c r="BB316">
        <f t="shared" si="303"/>
        <v>1.54050456180648</v>
      </c>
      <c r="BC316" s="30" t="str">
        <f t="shared" si="304"/>
        <v>-0,327046089069107+0,240704231228651i</v>
      </c>
      <c r="BD316" s="32">
        <f t="shared" si="305"/>
        <v>-7.82785477440739</v>
      </c>
      <c r="BE316" s="31">
        <f t="shared" si="306"/>
        <v>143.647123789889</v>
      </c>
      <c r="BF316" s="30" t="str">
        <f t="shared" si="307"/>
        <v>0,673752442042795+0,207581716917665i</v>
      </c>
      <c r="BG316" s="68">
        <f t="shared" si="308"/>
        <v>-3.03615193121544</v>
      </c>
      <c r="BH316" s="31">
        <f t="shared" si="309"/>
        <v>17.1239557817978</v>
      </c>
      <c r="BI316" s="30" t="str">
        <f t="shared" si="316"/>
        <v>0,351453757204883+2,486215148375i</v>
      </c>
      <c r="BJ316" s="68">
        <f t="shared" si="310"/>
        <v>7.99670316204917</v>
      </c>
      <c r="BK316" s="31">
        <f t="shared" si="317"/>
        <v>81.9539257167569</v>
      </c>
      <c r="BL316" s="32">
        <f t="shared" si="311"/>
        <v>-3.03615193121544</v>
      </c>
      <c r="BM316" s="31">
        <f t="shared" si="312"/>
        <v>17.1239557817978</v>
      </c>
      <c r="BO316">
        <f t="shared" si="313"/>
        <v>0</v>
      </c>
      <c r="BP316">
        <f t="shared" si="314"/>
        <v>0</v>
      </c>
    </row>
    <row r="317" spans="14:68">
      <c r="N317" s="7">
        <v>99</v>
      </c>
      <c r="O317" s="18">
        <f t="shared" si="315"/>
        <v>9772.37220955812</v>
      </c>
      <c r="P317" s="86" t="str">
        <f t="shared" si="265"/>
        <v>54,5454545454545</v>
      </c>
      <c r="Q317" s="4" t="str">
        <f t="shared" si="266"/>
        <v>1+125,036037347985i</v>
      </c>
      <c r="R317" s="4">
        <f t="shared" si="277"/>
        <v>125.04003613118</v>
      </c>
      <c r="S317" s="4">
        <f t="shared" si="278"/>
        <v>1.56279880303303</v>
      </c>
      <c r="T317" s="4" t="str">
        <f t="shared" si="267"/>
        <v>1+0,962777487579488i</v>
      </c>
      <c r="U317" s="4">
        <f t="shared" si="279"/>
        <v>1.3881428206744</v>
      </c>
      <c r="V317" s="4">
        <f t="shared" si="280"/>
        <v>0.766436232475009</v>
      </c>
      <c r="W317" t="str">
        <f t="shared" si="268"/>
        <v>1-2,76307314675236i</v>
      </c>
      <c r="X317" s="4">
        <f t="shared" si="281"/>
        <v>2.93846443134913</v>
      </c>
      <c r="Y317" s="4">
        <f t="shared" si="282"/>
        <v>-1.22354572920568</v>
      </c>
      <c r="Z317" t="str">
        <f t="shared" si="269"/>
        <v>0,999220414215493+0,190783622037663i</v>
      </c>
      <c r="AA317" s="4">
        <f t="shared" si="283"/>
        <v>1.0172707735027</v>
      </c>
      <c r="AB317" s="4">
        <f t="shared" si="284"/>
        <v>0.188661773368029</v>
      </c>
      <c r="AC317" s="67" t="str">
        <f t="shared" si="285"/>
        <v>-1,04145947917101-1,40530925802613i</v>
      </c>
      <c r="AD317" s="68">
        <f t="shared" si="286"/>
        <v>4.85654993852758</v>
      </c>
      <c r="AE317" s="31">
        <f t="shared" si="287"/>
        <v>-126.541743949347</v>
      </c>
      <c r="AF317" s="32" t="str">
        <f t="shared" si="288"/>
        <v>432,040091031901</v>
      </c>
      <c r="AG317" s="32" t="str">
        <f t="shared" si="270"/>
        <v>1+101,881215616877i</v>
      </c>
      <c r="AH317" s="32">
        <f t="shared" si="289"/>
        <v>101.886123174712</v>
      </c>
      <c r="AI317" s="32">
        <f t="shared" si="290"/>
        <v>1.56098128991995</v>
      </c>
      <c r="AJ317" s="32" t="str">
        <f t="shared" si="271"/>
        <v>1+0,962777487579488i</v>
      </c>
      <c r="AK317" s="32">
        <f t="shared" si="291"/>
        <v>1.3881428206744</v>
      </c>
      <c r="AL317" s="32">
        <f t="shared" si="292"/>
        <v>0.766436232475009</v>
      </c>
      <c r="AM317" s="32" t="str">
        <f t="shared" si="272"/>
        <v>1-0,284234295156125i</v>
      </c>
      <c r="AN317" s="32">
        <f t="shared" si="293"/>
        <v>1.03961008774583</v>
      </c>
      <c r="AO317" s="32">
        <f t="shared" si="294"/>
        <v>-0.27693083157152</v>
      </c>
      <c r="AP317" s="30" t="str">
        <f t="shared" si="295"/>
        <v>2,93017894858271-5,37233063292255i</v>
      </c>
      <c r="AQ317" s="32">
        <f t="shared" si="296"/>
        <v>15.7342729559308</v>
      </c>
      <c r="AR317" s="31">
        <f t="shared" si="297"/>
        <v>-61.391046290671</v>
      </c>
      <c r="AS317" t="str">
        <f t="shared" si="273"/>
        <v>-0,000201496259351621</v>
      </c>
      <c r="AT317" t="str">
        <f t="shared" si="274"/>
        <v>0,0137969452461168i</v>
      </c>
      <c r="AU317">
        <f t="shared" si="298"/>
        <v>0.0137969452461168</v>
      </c>
      <c r="AV317">
        <f t="shared" si="299"/>
        <v>1.5707963267949</v>
      </c>
      <c r="AW317" t="str">
        <f t="shared" si="275"/>
        <v>1+0,706378290496449i</v>
      </c>
      <c r="AX317">
        <f t="shared" si="300"/>
        <v>1.22432442158306</v>
      </c>
      <c r="AY317">
        <f t="shared" si="301"/>
        <v>0.614993881408743</v>
      </c>
      <c r="AZ317" t="str">
        <f t="shared" si="276"/>
        <v>1+33,7708940158621i</v>
      </c>
      <c r="BA317">
        <f t="shared" si="302"/>
        <v>33.7856964206836</v>
      </c>
      <c r="BB317">
        <f t="shared" si="303"/>
        <v>1.54119367911608</v>
      </c>
      <c r="BC317" s="30" t="str">
        <f t="shared" si="304"/>
        <v>-0,322146330489934+0,242161585252556i</v>
      </c>
      <c r="BD317" s="32">
        <f t="shared" si="305"/>
        <v>-7.89359179305769</v>
      </c>
      <c r="BE317" s="31">
        <f t="shared" si="306"/>
        <v>143.067339394501</v>
      </c>
      <c r="BF317" s="30" t="str">
        <f t="shared" si="307"/>
        <v>0,6758142672626+0,200513742224297i</v>
      </c>
      <c r="BG317" s="68">
        <f t="shared" si="308"/>
        <v>-3.03704185453011</v>
      </c>
      <c r="BH317" s="31">
        <f t="shared" si="309"/>
        <v>16.5255954451535</v>
      </c>
      <c r="BI317" s="30" t="str">
        <f t="shared" si="316"/>
        <v>0,357025706604619+2,44025337883712i</v>
      </c>
      <c r="BJ317" s="68">
        <f t="shared" si="310"/>
        <v>7.8406811628731</v>
      </c>
      <c r="BK317" s="31">
        <f t="shared" si="317"/>
        <v>81.6762931038299</v>
      </c>
      <c r="BL317" s="32">
        <f t="shared" si="311"/>
        <v>-3.03704185453011</v>
      </c>
      <c r="BM317" s="31">
        <f t="shared" si="312"/>
        <v>16.5255954451535</v>
      </c>
      <c r="BO317">
        <f t="shared" si="313"/>
        <v>0</v>
      </c>
      <c r="BP317">
        <f t="shared" si="314"/>
        <v>0</v>
      </c>
    </row>
    <row r="318" spans="14:68">
      <c r="N318" s="7">
        <v>100</v>
      </c>
      <c r="O318" s="18">
        <f t="shared" si="315"/>
        <v>10000</v>
      </c>
      <c r="P318" s="86" t="str">
        <f t="shared" si="265"/>
        <v>54,5454545454545</v>
      </c>
      <c r="Q318" s="4" t="str">
        <f t="shared" si="266"/>
        <v>1+127,948500800748i</v>
      </c>
      <c r="R318" s="4">
        <f t="shared" si="277"/>
        <v>127.952408563337</v>
      </c>
      <c r="S318" s="4">
        <f t="shared" si="278"/>
        <v>1.56298084139995</v>
      </c>
      <c r="T318" s="4" t="str">
        <f t="shared" si="267"/>
        <v>1+0,98520345616576i</v>
      </c>
      <c r="U318" s="4">
        <f t="shared" si="279"/>
        <v>1.40378981690314</v>
      </c>
      <c r="V318" s="4">
        <f t="shared" si="280"/>
        <v>0.777944887110802</v>
      </c>
      <c r="W318" t="str">
        <f t="shared" si="268"/>
        <v>1-2,82743338823082i</v>
      </c>
      <c r="X318" s="4">
        <f t="shared" si="281"/>
        <v>2.99906311452134</v>
      </c>
      <c r="Y318" s="4">
        <f t="shared" si="282"/>
        <v>-1.23084896767928</v>
      </c>
      <c r="Z318" t="str">
        <f t="shared" si="269"/>
        <v>0,999183673469388+0,19522754347308i</v>
      </c>
      <c r="AA318" s="4">
        <f t="shared" si="283"/>
        <v>1.01807750542791</v>
      </c>
      <c r="AB318" s="4">
        <f t="shared" si="284"/>
        <v>0.192956115245935</v>
      </c>
      <c r="AC318" s="67" t="str">
        <f t="shared" si="285"/>
        <v>-1,05000309073607-1,41603545329449i</v>
      </c>
      <c r="AD318" s="68">
        <f t="shared" si="286"/>
        <v>4.9243390248857</v>
      </c>
      <c r="AE318" s="31">
        <f t="shared" si="287"/>
        <v>-126.557269047682</v>
      </c>
      <c r="AF318" s="32" t="str">
        <f t="shared" si="288"/>
        <v>432,040091031901</v>
      </c>
      <c r="AG318" s="32" t="str">
        <f t="shared" si="270"/>
        <v>1+104,254333985795i</v>
      </c>
      <c r="AH318" s="32">
        <f t="shared" si="289"/>
        <v>104.259129839174</v>
      </c>
      <c r="AI318" s="32">
        <f t="shared" si="290"/>
        <v>1.56120469357347</v>
      </c>
      <c r="AJ318" s="32" t="str">
        <f t="shared" si="271"/>
        <v>1+0,98520345616576i</v>
      </c>
      <c r="AK318" s="32">
        <f t="shared" si="291"/>
        <v>1.40378981690314</v>
      </c>
      <c r="AL318" s="32">
        <f t="shared" si="292"/>
        <v>0.777944887110802</v>
      </c>
      <c r="AM318" s="32" t="str">
        <f t="shared" si="272"/>
        <v>1-0,290854962399121i</v>
      </c>
      <c r="AN318" s="32">
        <f t="shared" si="293"/>
        <v>1.04143968099559</v>
      </c>
      <c r="AO318" s="32">
        <f t="shared" si="294"/>
        <v>-0.283045879441619</v>
      </c>
      <c r="AP318" s="30" t="str">
        <f t="shared" si="295"/>
        <v>2,92831847111454-5,30350544954598i</v>
      </c>
      <c r="AQ318" s="32">
        <f t="shared" si="296"/>
        <v>15.6469232373831</v>
      </c>
      <c r="AR318" s="31">
        <f t="shared" si="297"/>
        <v>-61.094815473118</v>
      </c>
      <c r="AS318" t="str">
        <f t="shared" si="273"/>
        <v>-0,000201496259351621</v>
      </c>
      <c r="AT318" t="str">
        <f t="shared" si="274"/>
        <v>0,0141183173852325i</v>
      </c>
      <c r="AU318">
        <f t="shared" si="298"/>
        <v>0.0141183173852325</v>
      </c>
      <c r="AV318">
        <f t="shared" si="299"/>
        <v>1.5707963267949</v>
      </c>
      <c r="AW318" t="str">
        <f t="shared" si="275"/>
        <v>1+0,722831954564274i</v>
      </c>
      <c r="AX318">
        <f t="shared" si="300"/>
        <v>1.23389060882203</v>
      </c>
      <c r="AY318">
        <f t="shared" si="301"/>
        <v>0.625885640871304</v>
      </c>
      <c r="AZ318" t="str">
        <f t="shared" si="276"/>
        <v>1+34,5575191894877i</v>
      </c>
      <c r="BA318">
        <f t="shared" si="302"/>
        <v>34.5719847930635</v>
      </c>
      <c r="BB318">
        <f t="shared" si="303"/>
        <v>1.54186713737732</v>
      </c>
      <c r="BC318" s="30" t="str">
        <f t="shared" si="304"/>
        <v>-0,317170579730571+0,243533004126926i</v>
      </c>
      <c r="BD318" s="32">
        <f t="shared" si="305"/>
        <v>-7.96136596276162</v>
      </c>
      <c r="BE318" s="31">
        <f t="shared" si="306"/>
        <v>142.481873861872</v>
      </c>
      <c r="BF318" s="30" t="str">
        <f t="shared" si="307"/>
        <v>0,677881456898691+0,193414378610943i</v>
      </c>
      <c r="BG318" s="68">
        <f t="shared" si="308"/>
        <v>-3.03702693787593</v>
      </c>
      <c r="BH318" s="31">
        <f t="shared" si="309"/>
        <v>15.9246048141897</v>
      </c>
      <c r="BI318" s="30" t="str">
        <f t="shared" si="316"/>
        <v>0,362802147412318+2,39525809234763i</v>
      </c>
      <c r="BJ318" s="68">
        <f t="shared" si="310"/>
        <v>7.68555727462148</v>
      </c>
      <c r="BK318" s="31">
        <f t="shared" si="317"/>
        <v>81.3870583887539</v>
      </c>
      <c r="BL318" s="32">
        <f t="shared" si="311"/>
        <v>-3.03702693787593</v>
      </c>
      <c r="BM318" s="31">
        <f t="shared" si="312"/>
        <v>15.9246048141897</v>
      </c>
      <c r="BO318">
        <f t="shared" si="313"/>
        <v>0</v>
      </c>
      <c r="BP318">
        <f t="shared" si="314"/>
        <v>0</v>
      </c>
    </row>
    <row r="319" spans="14:68">
      <c r="N319" s="7">
        <v>1</v>
      </c>
      <c r="O319" s="18">
        <f>10^(4+(N319/100))</f>
        <v>10232.9299228075</v>
      </c>
      <c r="P319" s="86" t="str">
        <f t="shared" si="265"/>
        <v>54,5454545454545</v>
      </c>
      <c r="Q319" s="4" t="str">
        <f t="shared" si="266"/>
        <v>1+130,928804242233i</v>
      </c>
      <c r="R319" s="4">
        <f t="shared" si="277"/>
        <v>130.93262305591</v>
      </c>
      <c r="S319" s="4">
        <f t="shared" si="278"/>
        <v>1.56315873656828</v>
      </c>
      <c r="T319" s="4" t="str">
        <f t="shared" si="267"/>
        <v>1+1,0081517926652i</v>
      </c>
      <c r="U319" s="4">
        <f t="shared" si="279"/>
        <v>1.41998944962773</v>
      </c>
      <c r="V319" s="4">
        <f t="shared" si="280"/>
        <v>0.789457491939963</v>
      </c>
      <c r="W319" t="str">
        <f t="shared" si="268"/>
        <v>1-2,89329277231721i</v>
      </c>
      <c r="X319" s="4">
        <f t="shared" si="281"/>
        <v>3.06123227905741</v>
      </c>
      <c r="Y319" s="4">
        <f t="shared" si="282"/>
        <v>-1.23802260638843</v>
      </c>
      <c r="Z319" t="str">
        <f t="shared" si="269"/>
        <v>0,999145201185265+0,199774977136188i</v>
      </c>
      <c r="AA319" s="4">
        <f t="shared" si="283"/>
        <v>1.01892157428396</v>
      </c>
      <c r="AB319" s="4">
        <f t="shared" si="284"/>
        <v>0.197343531084038</v>
      </c>
      <c r="AC319" s="67" t="str">
        <f t="shared" si="285"/>
        <v>-1,05890622972975-1,42736685712361i</v>
      </c>
      <c r="AD319" s="68">
        <f t="shared" si="286"/>
        <v>4.99502681094102</v>
      </c>
      <c r="AE319" s="31">
        <f t="shared" si="287"/>
        <v>-126.570237654389</v>
      </c>
      <c r="AF319" s="32" t="str">
        <f t="shared" si="288"/>
        <v>432,040091031901</v>
      </c>
      <c r="AG319" s="32" t="str">
        <f t="shared" si="270"/>
        <v>1+106,68272938256i</v>
      </c>
      <c r="AH319" s="32">
        <f t="shared" si="289"/>
        <v>106.687416073839</v>
      </c>
      <c r="AI319" s="32">
        <f t="shared" si="290"/>
        <v>1.56142301286416</v>
      </c>
      <c r="AJ319" s="32" t="str">
        <f t="shared" si="271"/>
        <v>1+1,0081517926652i</v>
      </c>
      <c r="AK319" s="32">
        <f t="shared" si="291"/>
        <v>1.41998944962773</v>
      </c>
      <c r="AL319" s="32">
        <f t="shared" si="292"/>
        <v>0.789457491939963</v>
      </c>
      <c r="AM319" s="32" t="str">
        <f t="shared" si="272"/>
        <v>1-0,297629844793102i</v>
      </c>
      <c r="AN319" s="32">
        <f t="shared" si="293"/>
        <v>1.04335206163191</v>
      </c>
      <c r="AO319" s="32">
        <f t="shared" si="294"/>
        <v>-0.289280924192039</v>
      </c>
      <c r="AP319" s="30" t="str">
        <f t="shared" si="295"/>
        <v>2,92654171386594-5,2374906483089i</v>
      </c>
      <c r="AQ319" s="32">
        <f t="shared" si="296"/>
        <v>15.5625369652459</v>
      </c>
      <c r="AR319" s="31">
        <f t="shared" si="297"/>
        <v>-60.8049423284223</v>
      </c>
      <c r="AS319" t="str">
        <f t="shared" si="273"/>
        <v>-0,000201496259351621</v>
      </c>
      <c r="AT319" t="str">
        <f t="shared" si="274"/>
        <v>0,0144471752431039i</v>
      </c>
      <c r="AU319">
        <f t="shared" si="298"/>
        <v>0.0144471752431039</v>
      </c>
      <c r="AV319">
        <f t="shared" si="299"/>
        <v>1.5707963267949</v>
      </c>
      <c r="AW319" t="str">
        <f t="shared" si="275"/>
        <v>1+0,739668873702219i</v>
      </c>
      <c r="AX319">
        <f t="shared" si="300"/>
        <v>1.24382878352445</v>
      </c>
      <c r="AY319">
        <f t="shared" si="301"/>
        <v>0.636856334232602</v>
      </c>
      <c r="AZ319" t="str">
        <f t="shared" si="276"/>
        <v>1+35,3624672172103i</v>
      </c>
      <c r="BA319">
        <f t="shared" si="302"/>
        <v>35.3766036765582</v>
      </c>
      <c r="BB319">
        <f t="shared" si="303"/>
        <v>1.54252529122174</v>
      </c>
      <c r="BC319" s="30" t="str">
        <f t="shared" si="304"/>
        <v>-0,312122450809191+0,244814365905379i</v>
      </c>
      <c r="BD319" s="32">
        <f t="shared" si="305"/>
        <v>-8.03120838060042</v>
      </c>
      <c r="BE319" s="31">
        <f t="shared" si="306"/>
        <v>141.891008871493</v>
      </c>
      <c r="BF319" s="30" t="str">
        <f t="shared" si="307"/>
        <v>0,67994831964144+0,186277784464689i</v>
      </c>
      <c r="BG319" s="68">
        <f t="shared" si="308"/>
        <v>-3.0361815696594</v>
      </c>
      <c r="BH319" s="31">
        <f t="shared" si="309"/>
        <v>15.3207712171041</v>
      </c>
      <c r="BI319" s="30" t="str">
        <f t="shared" si="316"/>
        <v>0,368773579873928+2,35119787121612i</v>
      </c>
      <c r="BJ319" s="68">
        <f t="shared" si="310"/>
        <v>7.53132858464551</v>
      </c>
      <c r="BK319" s="31">
        <f t="shared" si="317"/>
        <v>81.0860665430704</v>
      </c>
      <c r="BL319" s="32">
        <f t="shared" si="311"/>
        <v>-3.0361815696594</v>
      </c>
      <c r="BM319" s="31">
        <f t="shared" si="312"/>
        <v>15.3207712171041</v>
      </c>
      <c r="BO319">
        <f t="shared" si="313"/>
        <v>0</v>
      </c>
      <c r="BP319">
        <f t="shared" si="314"/>
        <v>0</v>
      </c>
    </row>
    <row r="320" spans="14:68">
      <c r="N320" s="7">
        <v>2</v>
      </c>
      <c r="O320" s="18">
        <f t="shared" ref="O320:O383" si="318">10^(4+(N320/100))</f>
        <v>10471.285480509</v>
      </c>
      <c r="P320" s="86" t="str">
        <f t="shared" si="265"/>
        <v>54,5454545454545</v>
      </c>
      <c r="Q320" s="4" t="str">
        <f t="shared" si="266"/>
        <v>1+133,978527868777i</v>
      </c>
      <c r="R320" s="4">
        <f t="shared" si="277"/>
        <v>133.982259758091</v>
      </c>
      <c r="S320" s="4">
        <f t="shared" si="278"/>
        <v>1.56333258281532</v>
      </c>
      <c r="T320" s="4" t="str">
        <f t="shared" si="267"/>
        <v>1+1,03163466458958i</v>
      </c>
      <c r="U320" s="4">
        <f t="shared" si="279"/>
        <v>1.43675679263501</v>
      </c>
      <c r="V320" s="4">
        <f t="shared" si="280"/>
        <v>0.800967945124353</v>
      </c>
      <c r="W320" t="str">
        <f t="shared" si="268"/>
        <v>1-2,96068621852877i</v>
      </c>
      <c r="X320" s="4">
        <f t="shared" si="281"/>
        <v>3.12500606152791</v>
      </c>
      <c r="Y320" s="4">
        <f t="shared" si="282"/>
        <v>-1.24506749464877</v>
      </c>
      <c r="Z320" t="str">
        <f t="shared" si="269"/>
        <v>0,99910491575825+0,20442833413651i</v>
      </c>
      <c r="AA320" s="4">
        <f t="shared" si="283"/>
        <v>1.01980467565614</v>
      </c>
      <c r="AB320" s="4">
        <f t="shared" si="284"/>
        <v>0.201825716161141</v>
      </c>
      <c r="AC320" s="67" t="str">
        <f t="shared" si="285"/>
        <v>-1,0681839133648-1,43929985373653i</v>
      </c>
      <c r="AD320" s="68">
        <f t="shared" si="286"/>
        <v>5.06856782331817</v>
      </c>
      <c r="AE320" s="31">
        <f t="shared" si="287"/>
        <v>-126.581150575253</v>
      </c>
      <c r="AF320" s="32" t="str">
        <f t="shared" si="288"/>
        <v>432,040091031901</v>
      </c>
      <c r="AG320" s="32" t="str">
        <f t="shared" si="270"/>
        <v>1+109,167689374559i</v>
      </c>
      <c r="AH320" s="32">
        <f t="shared" si="289"/>
        <v>109.172269388248</v>
      </c>
      <c r="AI320" s="32">
        <f t="shared" si="290"/>
        <v>1.56163636346451</v>
      </c>
      <c r="AJ320" s="32" t="str">
        <f t="shared" si="271"/>
        <v>1+1,03163466458958i</v>
      </c>
      <c r="AK320" s="32">
        <f t="shared" si="291"/>
        <v>1.43675679263501</v>
      </c>
      <c r="AL320" s="32">
        <f t="shared" si="292"/>
        <v>0.800967945124353</v>
      </c>
      <c r="AM320" s="32" t="str">
        <f t="shared" si="272"/>
        <v>1-0,304562534470391i</v>
      </c>
      <c r="AN320" s="32">
        <f t="shared" si="293"/>
        <v>1.04535082025272</v>
      </c>
      <c r="AO320" s="32">
        <f t="shared" si="294"/>
        <v>-0.295637331851222</v>
      </c>
      <c r="AP320" s="30" t="str">
        <f t="shared" si="295"/>
        <v>2,92484491013118-5,17425133450804i</v>
      </c>
      <c r="AQ320" s="32">
        <f t="shared" si="296"/>
        <v>15.4811406827552</v>
      </c>
      <c r="AR320" s="31">
        <f t="shared" si="297"/>
        <v>-60.5218613613662</v>
      </c>
      <c r="AS320" t="str">
        <f t="shared" si="273"/>
        <v>-0,000201496259351621</v>
      </c>
      <c r="AT320" t="str">
        <f t="shared" si="274"/>
        <v>0,0147836931845203i</v>
      </c>
      <c r="AU320">
        <f t="shared" si="298"/>
        <v>0.0147836931845203</v>
      </c>
      <c r="AV320">
        <f t="shared" si="299"/>
        <v>1.5707963267949</v>
      </c>
      <c r="AW320" t="str">
        <f t="shared" si="275"/>
        <v>1+0,756897975067683i</v>
      </c>
      <c r="AX320">
        <f t="shared" si="300"/>
        <v>1.25415092579066</v>
      </c>
      <c r="AY320">
        <f t="shared" si="301"/>
        <v>0.647901215469077</v>
      </c>
      <c r="AZ320" t="str">
        <f t="shared" si="276"/>
        <v>1+36,1861648931294i</v>
      </c>
      <c r="BA320">
        <f t="shared" si="302"/>
        <v>36.1999796916069</v>
      </c>
      <c r="BB320">
        <f t="shared" si="303"/>
        <v>1.54316848732918</v>
      </c>
      <c r="BC320" s="30" t="str">
        <f t="shared" si="304"/>
        <v>-0,307005819204748+0,246001712295702i</v>
      </c>
      <c r="BD320" s="32">
        <f t="shared" si="305"/>
        <v>-8.10314857616116</v>
      </c>
      <c r="BE320" s="31">
        <f t="shared" si="306"/>
        <v>141.295036213775</v>
      </c>
      <c r="BF320" s="30" t="str">
        <f t="shared" si="307"/>
        <v>0,682008905910034+0,179098358943193i</v>
      </c>
      <c r="BG320" s="68">
        <f t="shared" si="308"/>
        <v>-3.03458075284299</v>
      </c>
      <c r="BH320" s="31">
        <f t="shared" si="309"/>
        <v>14.7138856385224</v>
      </c>
      <c r="BI320" s="30" t="str">
        <f t="shared" si="316"/>
        <v>0,374930280455638+2,30804212581354i</v>
      </c>
      <c r="BJ320" s="68">
        <f t="shared" si="310"/>
        <v>7.37799210659407</v>
      </c>
      <c r="BK320" s="31">
        <f t="shared" si="317"/>
        <v>80.7731748524092</v>
      </c>
      <c r="BL320" s="32">
        <f t="shared" si="311"/>
        <v>-3.03458075284299</v>
      </c>
      <c r="BM320" s="31">
        <f t="shared" si="312"/>
        <v>14.7138856385224</v>
      </c>
      <c r="BO320">
        <f t="shared" si="313"/>
        <v>0</v>
      </c>
      <c r="BP320">
        <f t="shared" si="314"/>
        <v>0</v>
      </c>
    </row>
    <row r="321" spans="14:68">
      <c r="N321" s="7">
        <v>3</v>
      </c>
      <c r="O321" s="18">
        <f t="shared" si="318"/>
        <v>10715.1930523761</v>
      </c>
      <c r="P321" s="86" t="str">
        <f t="shared" si="265"/>
        <v>54,5454545454545</v>
      </c>
      <c r="Q321" s="4" t="str">
        <f t="shared" si="266"/>
        <v>1+137,099288684211i</v>
      </c>
      <c r="R321" s="4">
        <f t="shared" si="277"/>
        <v>137.102935627639</v>
      </c>
      <c r="S321" s="4">
        <f t="shared" si="278"/>
        <v>1.5635024722746</v>
      </c>
      <c r="T321" s="4" t="str">
        <f t="shared" si="267"/>
        <v>1+1,05566452286843i</v>
      </c>
      <c r="U321" s="4">
        <f t="shared" si="279"/>
        <v>1.45410714352245</v>
      </c>
      <c r="V321" s="4">
        <f t="shared" si="280"/>
        <v>0.812470150524399</v>
      </c>
      <c r="W321" t="str">
        <f t="shared" si="268"/>
        <v>1-3,02964945976271i</v>
      </c>
      <c r="X321" s="4">
        <f t="shared" si="281"/>
        <v>3.19041938450739</v>
      </c>
      <c r="Y321" s="4">
        <f t="shared" si="282"/>
        <v>-1.25198456971308</v>
      </c>
      <c r="Z321" t="str">
        <f t="shared" si="269"/>
        <v>0,999062731737554+0,20919008174552i</v>
      </c>
      <c r="AA321" s="4">
        <f t="shared" si="283"/>
        <v>1.02072857912748</v>
      </c>
      <c r="AB321" s="4">
        <f t="shared" si="284"/>
        <v>0.206404374306233</v>
      </c>
      <c r="AC321" s="67" t="str">
        <f t="shared" si="285"/>
        <v>-1,07785160886851-1,45183054549439i</v>
      </c>
      <c r="AD321" s="68">
        <f t="shared" si="286"/>
        <v>5.14491439950356</v>
      </c>
      <c r="AE321" s="31">
        <f t="shared" si="287"/>
        <v>-126.590513695046</v>
      </c>
      <c r="AF321" s="32" t="str">
        <f t="shared" si="288"/>
        <v>432,040091031901</v>
      </c>
      <c r="AG321" s="32" t="str">
        <f t="shared" si="270"/>
        <v>1+111,710531520468i</v>
      </c>
      <c r="AH321" s="32">
        <f t="shared" si="289"/>
        <v>111.715007284543</v>
      </c>
      <c r="AI321" s="32">
        <f t="shared" si="290"/>
        <v>1.56184485841809</v>
      </c>
      <c r="AJ321" s="32" t="str">
        <f t="shared" si="271"/>
        <v>1+1,05566452286843i</v>
      </c>
      <c r="AK321" s="32">
        <f t="shared" si="291"/>
        <v>1.45410714352245</v>
      </c>
      <c r="AL321" s="32">
        <f t="shared" si="292"/>
        <v>0.812470150524399</v>
      </c>
      <c r="AM321" s="32" t="str">
        <f t="shared" si="272"/>
        <v>1-0,311656707234818i</v>
      </c>
      <c r="AN321" s="32">
        <f t="shared" si="293"/>
        <v>1.04743968951174</v>
      </c>
      <c r="AO321" s="32">
        <f t="shared" si="294"/>
        <v>-0.302116417315434</v>
      </c>
      <c r="AP321" s="30" t="str">
        <f t="shared" si="295"/>
        <v>2,92322446261788-5,11375407788636i</v>
      </c>
      <c r="AQ321" s="32">
        <f t="shared" si="296"/>
        <v>15.4027592971333</v>
      </c>
      <c r="AR321" s="31">
        <f t="shared" si="297"/>
        <v>-60.2460036699448</v>
      </c>
      <c r="AS321" t="str">
        <f t="shared" si="273"/>
        <v>-0,000201496259351621</v>
      </c>
      <c r="AT321" t="str">
        <f t="shared" si="274"/>
        <v>0,0151280496357484i</v>
      </c>
      <c r="AU321">
        <f t="shared" si="298"/>
        <v>0.0151280496357484</v>
      </c>
      <c r="AV321">
        <f t="shared" si="299"/>
        <v>1.5707963267949</v>
      </c>
      <c r="AW321" t="str">
        <f t="shared" si="275"/>
        <v>1+0,774528393758255i</v>
      </c>
      <c r="AX321">
        <f t="shared" si="300"/>
        <v>1.26486925519507</v>
      </c>
      <c r="AY321">
        <f t="shared" si="301"/>
        <v>0.659015362238896</v>
      </c>
      <c r="AZ321" t="str">
        <f t="shared" si="276"/>
        <v>1+37,0290489526552i</v>
      </c>
      <c r="BA321">
        <f t="shared" si="302"/>
        <v>37.0425494038698</v>
      </c>
      <c r="BB321">
        <f t="shared" si="303"/>
        <v>1.54379706460079</v>
      </c>
      <c r="BC321" s="30" t="str">
        <f t="shared" si="304"/>
        <v>-0,301824813369181+0,247091269058237i</v>
      </c>
      <c r="BD321" s="32">
        <f t="shared" si="305"/>
        <v>-8.17721440566627</v>
      </c>
      <c r="BE321" s="31">
        <f t="shared" si="306"/>
        <v>140.694257335737</v>
      </c>
      <c r="BF321" s="30" t="str">
        <f t="shared" si="307"/>
        <v>0,684057012630131+0,171870761545738i</v>
      </c>
      <c r="BG321" s="68">
        <f t="shared" si="308"/>
        <v>-3.03230000616271</v>
      </c>
      <c r="BH321" s="31">
        <f t="shared" si="309"/>
        <v>14.1037436406914</v>
      </c>
      <c r="BI321" s="30" t="str">
        <f t="shared" si="316"/>
        <v>0,381262306890809+2,26576111238427i</v>
      </c>
      <c r="BJ321" s="68">
        <f t="shared" si="310"/>
        <v>7.22554489146698</v>
      </c>
      <c r="BK321" s="31">
        <f t="shared" si="317"/>
        <v>80.4482536657922</v>
      </c>
      <c r="BL321" s="32">
        <f t="shared" si="311"/>
        <v>-3.03230000616271</v>
      </c>
      <c r="BM321" s="31">
        <f t="shared" si="312"/>
        <v>14.1037436406914</v>
      </c>
      <c r="BO321">
        <f t="shared" si="313"/>
        <v>0</v>
      </c>
      <c r="BP321">
        <f t="shared" si="314"/>
        <v>0</v>
      </c>
    </row>
    <row r="322" spans="14:68">
      <c r="N322" s="7">
        <v>4</v>
      </c>
      <c r="O322" s="18">
        <f t="shared" si="318"/>
        <v>10964.7819614319</v>
      </c>
      <c r="P322" s="86" t="str">
        <f t="shared" si="265"/>
        <v>54,5454545454545</v>
      </c>
      <c r="Q322" s="4" t="str">
        <f t="shared" si="266"/>
        <v>1+140,29274135723i</v>
      </c>
      <c r="R322" s="4">
        <f t="shared" si="277"/>
        <v>140.296305288224</v>
      </c>
      <c r="S322" s="4">
        <f t="shared" si="278"/>
        <v>1.5636684949845</v>
      </c>
      <c r="T322" s="4" t="str">
        <f t="shared" si="267"/>
        <v>1+1,08025410845067i</v>
      </c>
      <c r="U322" s="4">
        <f t="shared" si="279"/>
        <v>1.4720560243498</v>
      </c>
      <c r="V322" s="4">
        <f t="shared" si="280"/>
        <v>0.823958033820874</v>
      </c>
      <c r="W322" t="str">
        <f t="shared" si="268"/>
        <v>1-3,10021906124235i</v>
      </c>
      <c r="X322" s="4">
        <f t="shared" si="281"/>
        <v>3.25750797814685</v>
      </c>
      <c r="Y322" s="4">
        <f t="shared" si="282"/>
        <v>-1.2587748505879</v>
      </c>
      <c r="Z322" t="str">
        <f t="shared" si="269"/>
        <v>0,99901855964521+0,214062744704829i</v>
      </c>
      <c r="AA322" s="4">
        <f t="shared" si="283"/>
        <v>1.02169513123346</v>
      </c>
      <c r="AB322" s="4">
        <f t="shared" si="284"/>
        <v>0.21108121621162</v>
      </c>
      <c r="AC322" s="67" t="str">
        <f t="shared" si="285"/>
        <v>-1,08792523702018-1,46495471775875i</v>
      </c>
      <c r="AD322" s="68">
        <f t="shared" si="286"/>
        <v>5.22401668791393</v>
      </c>
      <c r="AE322" s="31">
        <f t="shared" si="287"/>
        <v>-126.598836605663</v>
      </c>
      <c r="AF322" s="32" t="str">
        <f t="shared" si="288"/>
        <v>432,040091031901</v>
      </c>
      <c r="AG322" s="32" t="str">
        <f t="shared" si="270"/>
        <v>1+114,312604068854i</v>
      </c>
      <c r="AH322" s="32">
        <f t="shared" si="289"/>
        <v>114.316977956044</v>
      </c>
      <c r="AI322" s="32">
        <f t="shared" si="290"/>
        <v>1.56204860819914</v>
      </c>
      <c r="AJ322" s="32" t="str">
        <f t="shared" si="271"/>
        <v>1+1,08025410845067i</v>
      </c>
      <c r="AK322" s="32">
        <f t="shared" si="291"/>
        <v>1.4720560243498</v>
      </c>
      <c r="AL322" s="32">
        <f t="shared" si="292"/>
        <v>0.823958033820874</v>
      </c>
      <c r="AM322" s="32" t="str">
        <f t="shared" si="272"/>
        <v>1-0,318916124510684i</v>
      </c>
      <c r="AN322" s="32">
        <f t="shared" si="293"/>
        <v>1.04962254857302</v>
      </c>
      <c r="AO322" s="32">
        <f t="shared" si="294"/>
        <v>-0.308719439227705</v>
      </c>
      <c r="AP322" s="30" t="str">
        <f t="shared" si="295"/>
        <v>2,92167693583195-5,05596689538445i</v>
      </c>
      <c r="AQ322" s="32">
        <f t="shared" si="296"/>
        <v>15.3274160933194</v>
      </c>
      <c r="AR322" s="31">
        <f t="shared" si="297"/>
        <v>-59.9777957316541</v>
      </c>
      <c r="AS322" t="str">
        <f t="shared" si="273"/>
        <v>-0,000201496259351621</v>
      </c>
      <c r="AT322" t="str">
        <f t="shared" si="274"/>
        <v>0,0154804271791368i</v>
      </c>
      <c r="AU322">
        <f t="shared" si="298"/>
        <v>0.0154804271791368</v>
      </c>
      <c r="AV322">
        <f t="shared" si="299"/>
        <v>1.5707963267949</v>
      </c>
      <c r="AW322" t="str">
        <f t="shared" si="275"/>
        <v>1+0,792569477655292i</v>
      </c>
      <c r="AX322">
        <f t="shared" si="300"/>
        <v>1.27599622919144</v>
      </c>
      <c r="AY322">
        <f t="shared" si="301"/>
        <v>0.670193684950956</v>
      </c>
      <c r="AZ322" t="str">
        <f t="shared" si="276"/>
        <v>1+37,8915663040731i</v>
      </c>
      <c r="BA322">
        <f t="shared" si="302"/>
        <v>37.9047595557071</v>
      </c>
      <c r="BB322">
        <f t="shared" si="303"/>
        <v>1.54441135432858</v>
      </c>
      <c r="BC322" s="30" t="str">
        <f t="shared" si="304"/>
        <v>-0,296583804366917+0,248079465940707i</v>
      </c>
      <c r="BD322" s="32">
        <f t="shared" si="305"/>
        <v>-8.25343194997383</v>
      </c>
      <c r="BE322" s="31">
        <f t="shared" si="306"/>
        <v>140.088982831101</v>
      </c>
      <c r="BF322" s="30" t="str">
        <f t="shared" si="307"/>
        <v>0,686086189671135+0,16458993163477i</v>
      </c>
      <c r="BG322" s="68">
        <f t="shared" si="308"/>
        <v>-3.02941526205989</v>
      </c>
      <c r="BH322" s="31">
        <f t="shared" si="309"/>
        <v>13.4901462254377</v>
      </c>
      <c r="BI322" s="30" t="str">
        <f t="shared" si="316"/>
        <v>0,387759506460752+2,22432595047878i</v>
      </c>
      <c r="BJ322" s="68">
        <f t="shared" si="310"/>
        <v>7.07398414334555</v>
      </c>
      <c r="BK322" s="31">
        <f t="shared" si="317"/>
        <v>80.1111870994469</v>
      </c>
      <c r="BL322" s="32">
        <f t="shared" si="311"/>
        <v>-3.02941526205989</v>
      </c>
      <c r="BM322" s="31">
        <f t="shared" si="312"/>
        <v>13.4901462254377</v>
      </c>
      <c r="BO322">
        <f t="shared" si="313"/>
        <v>0</v>
      </c>
      <c r="BP322">
        <f t="shared" si="314"/>
        <v>0</v>
      </c>
    </row>
    <row r="323" spans="14:68">
      <c r="N323" s="7">
        <v>5</v>
      </c>
      <c r="O323" s="18">
        <f t="shared" si="318"/>
        <v>11220.1845430196</v>
      </c>
      <c r="P323" s="86" t="str">
        <f t="shared" si="265"/>
        <v>54,5454545454545</v>
      </c>
      <c r="Q323" s="4" t="str">
        <f t="shared" si="266"/>
        <v>1+143,560579098708i</v>
      </c>
      <c r="R323" s="4">
        <f t="shared" si="277"/>
        <v>143.56406190672</v>
      </c>
      <c r="S323" s="4">
        <f t="shared" si="278"/>
        <v>1.56383073893584</v>
      </c>
      <c r="T323" s="4" t="str">
        <f t="shared" si="267"/>
        <v>1+1,10541645906006i</v>
      </c>
      <c r="U323" s="4">
        <f t="shared" si="279"/>
        <v>1.49061918274282</v>
      </c>
      <c r="V323" s="4">
        <f t="shared" si="280"/>
        <v>0.835425558496071</v>
      </c>
      <c r="W323" t="str">
        <f t="shared" si="268"/>
        <v>1-3,1724324399045i</v>
      </c>
      <c r="X323" s="4">
        <f t="shared" si="281"/>
        <v>3.32630840208157</v>
      </c>
      <c r="Y323" s="4">
        <f t="shared" si="282"/>
        <v>-1.26543943202338</v>
      </c>
      <c r="Z323" t="str">
        <f t="shared" si="269"/>
        <v>0,99897230578629+0,219048906564834i</v>
      </c>
      <c r="AA323" s="4">
        <f t="shared" si="283"/>
        <v>1.02270625850985</v>
      </c>
      <c r="AB323" s="4">
        <f t="shared" si="284"/>
        <v>0.215857957607871</v>
      </c>
      <c r="AC323" s="67" t="str">
        <f t="shared" si="285"/>
        <v>-1,09842117436029-1,47866780225983i</v>
      </c>
      <c r="AD323" s="68">
        <f t="shared" si="286"/>
        <v>5.30582265529667</v>
      </c>
      <c r="AE323" s="31">
        <f t="shared" si="287"/>
        <v>-126.606631244281</v>
      </c>
      <c r="AF323" s="32" t="str">
        <f t="shared" si="288"/>
        <v>432,040091031901</v>
      </c>
      <c r="AG323" s="32" t="str">
        <f t="shared" si="270"/>
        <v>1+116,975286673022i</v>
      </c>
      <c r="AH323" s="32">
        <f t="shared" si="289"/>
        <v>116.979561002064</v>
      </c>
      <c r="AI323" s="32">
        <f t="shared" si="290"/>
        <v>1.56224772077078</v>
      </c>
      <c r="AJ323" s="32" t="str">
        <f t="shared" si="271"/>
        <v>1+1,10541645906006i</v>
      </c>
      <c r="AK323" s="32">
        <f t="shared" si="291"/>
        <v>1.49061918274282</v>
      </c>
      <c r="AL323" s="32">
        <f t="shared" si="292"/>
        <v>0.835425558496071</v>
      </c>
      <c r="AM323" s="32" t="str">
        <f t="shared" si="272"/>
        <v>1-0,326344635337117i</v>
      </c>
      <c r="AN323" s="32">
        <f t="shared" si="293"/>
        <v>1.05190342760793</v>
      </c>
      <c r="AO323" s="32">
        <f t="shared" si="294"/>
        <v>-0.315447594648253</v>
      </c>
      <c r="AP323" s="30" t="str">
        <f t="shared" si="295"/>
        <v>2,92019904880523-5,00085923462877i</v>
      </c>
      <c r="AQ323" s="32">
        <f t="shared" si="296"/>
        <v>15.255132755995</v>
      </c>
      <c r="AR323" s="31">
        <f t="shared" si="297"/>
        <v>-59.7176581858116</v>
      </c>
      <c r="AS323" t="str">
        <f t="shared" si="273"/>
        <v>-0,000201496259351621</v>
      </c>
      <c r="AT323" t="str">
        <f t="shared" si="274"/>
        <v>0,0158410126499231i</v>
      </c>
      <c r="AU323">
        <f t="shared" si="298"/>
        <v>0.0158410126499231</v>
      </c>
      <c r="AV323">
        <f t="shared" si="299"/>
        <v>1.5707963267949</v>
      </c>
      <c r="AW323" t="str">
        <f t="shared" si="275"/>
        <v>1+0,811030792380272i</v>
      </c>
      <c r="AX323">
        <f t="shared" si="300"/>
        <v>1.28754454143885</v>
      </c>
      <c r="AY323">
        <f t="shared" si="301"/>
        <v>0.681430936773699</v>
      </c>
      <c r="AZ323" t="str">
        <f t="shared" si="276"/>
        <v>1+38,7741742654993i</v>
      </c>
      <c r="BA323">
        <f t="shared" si="302"/>
        <v>38.7870673030497</v>
      </c>
      <c r="BB323">
        <f t="shared" si="303"/>
        <v>1.54501168036159</v>
      </c>
      <c r="BC323" s="30" t="str">
        <f t="shared" si="304"/>
        <v>-0,291287393663524+0,24896295595439i</v>
      </c>
      <c r="BD323" s="32">
        <f t="shared" si="305"/>
        <v>-8.33182541722299</v>
      </c>
      <c r="BE323" s="31">
        <f t="shared" si="306"/>
        <v>139.479531876355</v>
      </c>
      <c r="BF323" s="30" t="str">
        <f t="shared" si="307"/>
        <v>0,688089747949425+0,157251107762807i</v>
      </c>
      <c r="BG323" s="68">
        <f t="shared" si="308"/>
        <v>-3.02600276192632</v>
      </c>
      <c r="BH323" s="31">
        <f t="shared" si="309"/>
        <v>12.8729006320748</v>
      </c>
      <c r="BI323" s="30" t="str">
        <f t="shared" si="316"/>
        <v>0,39441152745981+2,18370863969893i</v>
      </c>
      <c r="BJ323" s="68">
        <f t="shared" si="310"/>
        <v>6.92330733877199</v>
      </c>
      <c r="BK323" s="31">
        <f t="shared" si="317"/>
        <v>79.7618736905437</v>
      </c>
      <c r="BL323" s="32">
        <f t="shared" si="311"/>
        <v>-3.02600276192632</v>
      </c>
      <c r="BM323" s="31">
        <f t="shared" si="312"/>
        <v>12.8729006320748</v>
      </c>
      <c r="BO323">
        <f t="shared" si="313"/>
        <v>0</v>
      </c>
      <c r="BP323">
        <f t="shared" si="314"/>
        <v>0</v>
      </c>
    </row>
    <row r="324" spans="14:68">
      <c r="N324" s="7">
        <v>6</v>
      </c>
      <c r="O324" s="18">
        <f t="shared" si="318"/>
        <v>11481.5362149688</v>
      </c>
      <c r="P324" s="86" t="str">
        <f t="shared" si="265"/>
        <v>54,5454545454545</v>
      </c>
      <c r="Q324" s="4" t="str">
        <f t="shared" si="266"/>
        <v>1+146,904534559475i</v>
      </c>
      <c r="R324" s="4">
        <f t="shared" si="277"/>
        <v>146.907938090955</v>
      </c>
      <c r="S324" s="4">
        <f t="shared" si="278"/>
        <v>1.56398929011831</v>
      </c>
      <c r="T324" s="4" t="str">
        <f t="shared" si="267"/>
        <v>1+1,13116491610796i</v>
      </c>
      <c r="U324" s="4">
        <f t="shared" si="279"/>
        <v>1.5098125934809</v>
      </c>
      <c r="V324" s="4">
        <f t="shared" si="280"/>
        <v>0.84686674157216</v>
      </c>
      <c r="W324" t="str">
        <f t="shared" si="268"/>
        <v>1-3,24632788423841i</v>
      </c>
      <c r="X324" s="4">
        <f t="shared" si="281"/>
        <v>3.39685806768311</v>
      </c>
      <c r="Y324" s="4">
        <f t="shared" si="282"/>
        <v>-1.27197947868779</v>
      </c>
      <c r="Z324" t="str">
        <f t="shared" si="269"/>
        <v>0,998923872050158+0,224151211054556i</v>
      </c>
      <c r="AA324" s="4">
        <f t="shared" si="283"/>
        <v>1.0237639706343</v>
      </c>
      <c r="AB324" s="4">
        <f t="shared" si="284"/>
        <v>0.22073631729408</v>
      </c>
      <c r="AC324" s="67" t="str">
        <f t="shared" si="285"/>
        <v>-1,10935625392352-1,49296483895888i</v>
      </c>
      <c r="AD324" s="68">
        <f t="shared" si="286"/>
        <v>5.39027810154126</v>
      </c>
      <c r="AE324" s="31">
        <f t="shared" si="287"/>
        <v>-126.614410547632</v>
      </c>
      <c r="AF324" s="32" t="str">
        <f t="shared" si="288"/>
        <v>432,040091031901</v>
      </c>
      <c r="AG324" s="32" t="str">
        <f t="shared" si="270"/>
        <v>1+119,699991122535i</v>
      </c>
      <c r="AH324" s="32">
        <f t="shared" si="289"/>
        <v>119.704168159404</v>
      </c>
      <c r="AI324" s="32">
        <f t="shared" si="290"/>
        <v>1.56244230164194</v>
      </c>
      <c r="AJ324" s="32" t="str">
        <f t="shared" si="271"/>
        <v>1+1,13116491610796i</v>
      </c>
      <c r="AK324" s="32">
        <f t="shared" si="291"/>
        <v>1.5098125934809</v>
      </c>
      <c r="AL324" s="32">
        <f t="shared" si="292"/>
        <v>0.84686674157216</v>
      </c>
      <c r="AM324" s="32" t="str">
        <f t="shared" si="272"/>
        <v>1-0,33394617840889i</v>
      </c>
      <c r="AN324" s="32">
        <f t="shared" si="293"/>
        <v>1.05428651232666</v>
      </c>
      <c r="AO324" s="32">
        <f t="shared" si="294"/>
        <v>-0.322302013521029</v>
      </c>
      <c r="AP324" s="30" t="str">
        <f t="shared" si="295"/>
        <v>2,91878766814892-4,9484019581477i</v>
      </c>
      <c r="AQ324" s="32">
        <f t="shared" si="296"/>
        <v>15.1859293995416</v>
      </c>
      <c r="AR324" s="31">
        <f t="shared" si="297"/>
        <v>-59.466004618032</v>
      </c>
      <c r="AS324" t="str">
        <f t="shared" si="273"/>
        <v>-0,000201496259351621</v>
      </c>
      <c r="AT324" t="str">
        <f t="shared" si="274"/>
        <v>0,0162099972352971i</v>
      </c>
      <c r="AU324">
        <f t="shared" si="298"/>
        <v>0.0162099972352971</v>
      </c>
      <c r="AV324">
        <f t="shared" si="299"/>
        <v>1.5707963267949</v>
      </c>
      <c r="AW324" t="str">
        <f t="shared" si="275"/>
        <v>1+0,829922126366639i</v>
      </c>
      <c r="AX324">
        <f t="shared" si="300"/>
        <v>1.29952712008366</v>
      </c>
      <c r="AY324">
        <f t="shared" si="301"/>
        <v>0.692721724547643</v>
      </c>
      <c r="AZ324" t="str">
        <f t="shared" si="276"/>
        <v>1+39,6773408073582i</v>
      </c>
      <c r="BA324">
        <f t="shared" si="302"/>
        <v>39.6899404577942</v>
      </c>
      <c r="BB324">
        <f t="shared" si="303"/>
        <v>1.54559835926882</v>
      </c>
      <c r="BC324" s="30" t="str">
        <f t="shared" si="304"/>
        <v>-0,285940399108309+0,249738633796435i</v>
      </c>
      <c r="BD324" s="32">
        <f t="shared" si="305"/>
        <v>-8.41241705088323</v>
      </c>
      <c r="BE324" s="31">
        <f t="shared" si="306"/>
        <v>138.866231614844</v>
      </c>
      <c r="BF324" s="30" t="str">
        <f t="shared" si="307"/>
        <v>0,690060769187895+0,149849846658184i</v>
      </c>
      <c r="BG324" s="68">
        <f t="shared" si="308"/>
        <v>-3.02213894934197</v>
      </c>
      <c r="BH324" s="31">
        <f t="shared" si="309"/>
        <v>12.2518210672121</v>
      </c>
      <c r="BI324" s="30" t="str">
        <f t="shared" si="316"/>
        <v>0,401207833760498+2,14388207544648i</v>
      </c>
      <c r="BJ324" s="68">
        <f t="shared" si="310"/>
        <v>6.77351234865836</v>
      </c>
      <c r="BK324" s="31">
        <f t="shared" si="317"/>
        <v>79.4002269968124</v>
      </c>
      <c r="BL324" s="32">
        <f t="shared" si="311"/>
        <v>-3.02213894934197</v>
      </c>
      <c r="BM324" s="31">
        <f t="shared" si="312"/>
        <v>12.2518210672121</v>
      </c>
      <c r="BO324">
        <f t="shared" si="313"/>
        <v>0</v>
      </c>
      <c r="BP324">
        <f t="shared" si="314"/>
        <v>0</v>
      </c>
    </row>
    <row r="325" spans="14:68">
      <c r="N325" s="7">
        <v>7</v>
      </c>
      <c r="O325" s="18">
        <f t="shared" si="318"/>
        <v>11748.9755493953</v>
      </c>
      <c r="P325" s="86" t="str">
        <f t="shared" si="265"/>
        <v>54,5454545454545</v>
      </c>
      <c r="Q325" s="4" t="str">
        <f t="shared" si="266"/>
        <v>1+150,326380748977i</v>
      </c>
      <c r="R325" s="4">
        <f t="shared" si="277"/>
        <v>150.329706808356</v>
      </c>
      <c r="S325" s="4">
        <f t="shared" si="278"/>
        <v>1.56414423256596</v>
      </c>
      <c r="T325" s="4" t="str">
        <f t="shared" si="267"/>
        <v>1+1,15751313176712i</v>
      </c>
      <c r="U325" s="4">
        <f t="shared" si="279"/>
        <v>1.52965246059794</v>
      </c>
      <c r="V325" s="4">
        <f t="shared" si="280"/>
        <v>0.85827566900749</v>
      </c>
      <c r="W325" t="str">
        <f t="shared" si="268"/>
        <v>1-3,32194457458678i</v>
      </c>
      <c r="X325" s="4">
        <f t="shared" si="281"/>
        <v>3.46919526066587</v>
      </c>
      <c r="Y325" s="4">
        <f t="shared" si="282"/>
        <v>-1.27839621953568</v>
      </c>
      <c r="Z325" t="str">
        <f t="shared" si="269"/>
        <v>0,998873155702365+0,229372363483372i</v>
      </c>
      <c r="AA325" s="4">
        <f t="shared" si="283"/>
        <v>1.02487036366203</v>
      </c>
      <c r="AB325" s="4">
        <f t="shared" si="284"/>
        <v>0.2257180150169</v>
      </c>
      <c r="AC325" s="67" t="str">
        <f t="shared" si="285"/>
        <v>-1,12074776433944-1,50784043640272i</v>
      </c>
      <c r="AD325" s="68">
        <f t="shared" si="286"/>
        <v>5.47732668190183</v>
      </c>
      <c r="AE325" s="31">
        <f t="shared" si="287"/>
        <v>-126.622687128275</v>
      </c>
      <c r="AF325" s="32" t="str">
        <f t="shared" si="288"/>
        <v>432,040091031901</v>
      </c>
      <c r="AG325" s="32" t="str">
        <f t="shared" si="270"/>
        <v>1+122,488162091759i</v>
      </c>
      <c r="AH325" s="32">
        <f t="shared" si="289"/>
        <v>122.492244050866</v>
      </c>
      <c r="AI325" s="32">
        <f t="shared" si="290"/>
        <v>1.56263245392301</v>
      </c>
      <c r="AJ325" s="32" t="str">
        <f t="shared" si="271"/>
        <v>1+1,15751313176712i</v>
      </c>
      <c r="AK325" s="32">
        <f t="shared" si="291"/>
        <v>1.52965246059794</v>
      </c>
      <c r="AL325" s="32">
        <f t="shared" si="292"/>
        <v>0.85827566900749</v>
      </c>
      <c r="AM325" s="32" t="str">
        <f t="shared" si="272"/>
        <v>1-0,341724784164756i</v>
      </c>
      <c r="AN325" s="32">
        <f t="shared" si="293"/>
        <v>1.05677614853499</v>
      </c>
      <c r="AO325" s="32">
        <f t="shared" si="294"/>
        <v>-0.329283752942686</v>
      </c>
      <c r="AP325" s="30" t="str">
        <f t="shared" si="295"/>
        <v>2,91743980141933-4,89856732831063i</v>
      </c>
      <c r="AQ325" s="32">
        <f t="shared" si="296"/>
        <v>15.1198246054836</v>
      </c>
      <c r="AR325" s="31">
        <f t="shared" si="297"/>
        <v>-59.2232403529078</v>
      </c>
      <c r="AS325" t="str">
        <f t="shared" si="273"/>
        <v>-0,000201496259351621</v>
      </c>
      <c r="AT325" t="str">
        <f t="shared" si="274"/>
        <v>0,01658757657577i</v>
      </c>
      <c r="AU325">
        <f t="shared" si="298"/>
        <v>0.01658757657577</v>
      </c>
      <c r="AV325">
        <f t="shared" si="299"/>
        <v>1.5707963267949</v>
      </c>
      <c r="AW325" t="str">
        <f t="shared" si="275"/>
        <v>1+0,849253496049726i</v>
      </c>
      <c r="AX325">
        <f t="shared" si="300"/>
        <v>1.31195712603449</v>
      </c>
      <c r="AY325">
        <f t="shared" si="301"/>
        <v>0.704060520556142</v>
      </c>
      <c r="AZ325" t="str">
        <f t="shared" si="276"/>
        <v>1+40,6015448005049i</v>
      </c>
      <c r="BA325">
        <f t="shared" si="302"/>
        <v>40.6138577358444</v>
      </c>
      <c r="BB325">
        <f t="shared" si="303"/>
        <v>1.54617170049883</v>
      </c>
      <c r="BC325" s="30" t="str">
        <f t="shared" si="304"/>
        <v>-0,280547839178776+0,250403653225958i</v>
      </c>
      <c r="BD325" s="32">
        <f t="shared" si="305"/>
        <v>-8.49522704394341</v>
      </c>
      <c r="BE325" s="31">
        <f t="shared" si="306"/>
        <v>138.249416491498</v>
      </c>
      <c r="BF325" s="30" t="str">
        <f t="shared" si="307"/>
        <v>0,691992117306938+0,142382041723745i</v>
      </c>
      <c r="BG325" s="68">
        <f t="shared" si="308"/>
        <v>-3.01790036204158</v>
      </c>
      <c r="BH325" s="31">
        <f t="shared" si="309"/>
        <v>11.6267293632229</v>
      </c>
      <c r="BI325" s="30" t="str">
        <f t="shared" si="316"/>
        <v>0,408137722359952+2,10482006337151i</v>
      </c>
      <c r="BJ325" s="68">
        <f t="shared" si="310"/>
        <v>6.62459756154014</v>
      </c>
      <c r="BK325" s="31">
        <f t="shared" si="317"/>
        <v>79.0261761385904</v>
      </c>
      <c r="BL325" s="32">
        <f t="shared" si="311"/>
        <v>-3.01790036204158</v>
      </c>
      <c r="BM325" s="31">
        <f t="shared" si="312"/>
        <v>11.6267293632229</v>
      </c>
      <c r="BO325">
        <f t="shared" si="313"/>
        <v>0</v>
      </c>
      <c r="BP325">
        <f t="shared" si="314"/>
        <v>0</v>
      </c>
    </row>
    <row r="326" spans="14:68">
      <c r="N326" s="7">
        <v>8</v>
      </c>
      <c r="O326" s="18">
        <f t="shared" si="318"/>
        <v>12022.6443461742</v>
      </c>
      <c r="P326" s="86" t="str">
        <f t="shared" si="265"/>
        <v>54,5454545454545</v>
      </c>
      <c r="Q326" s="4" t="str">
        <f t="shared" si="266"/>
        <v>1+153,827931975358i</v>
      </c>
      <c r="R326" s="4">
        <f t="shared" si="277"/>
        <v>153.831182326001</v>
      </c>
      <c r="S326" s="4">
        <f t="shared" si="278"/>
        <v>1.56429564840154</v>
      </c>
      <c r="T326" s="4" t="str">
        <f t="shared" si="267"/>
        <v>1+1,18447507621026i</v>
      </c>
      <c r="U326" s="4">
        <f t="shared" si="279"/>
        <v>1.5501552200226</v>
      </c>
      <c r="V326" s="4">
        <f t="shared" si="280"/>
        <v>0.869646510655617</v>
      </c>
      <c r="W326" t="str">
        <f t="shared" si="268"/>
        <v>1-3,39932260391974i</v>
      </c>
      <c r="X326" s="4">
        <f t="shared" si="281"/>
        <v>3.54335916405883</v>
      </c>
      <c r="Y326" s="4">
        <f t="shared" si="282"/>
        <v>-1.28469094237714</v>
      </c>
      <c r="Z326" t="str">
        <f t="shared" si="269"/>
        <v>0,998820049166738+0,23471513217541i</v>
      </c>
      <c r="AA326" s="4">
        <f t="shared" si="283"/>
        <v>1.026027623356</v>
      </c>
      <c r="AB326" s="4">
        <f t="shared" si="284"/>
        <v>0.23080476919183</v>
      </c>
      <c r="AC326" s="67" t="str">
        <f t="shared" si="285"/>
        <v>-1,13261344713426-1,52328873057713i</v>
      </c>
      <c r="AD326" s="68">
        <f t="shared" si="286"/>
        <v>5.56690993653954</v>
      </c>
      <c r="AE326" s="31">
        <f t="shared" si="287"/>
        <v>-126.631971978321</v>
      </c>
      <c r="AF326" s="32" t="str">
        <f t="shared" si="288"/>
        <v>432,040091031901</v>
      </c>
      <c r="AG326" s="32" t="str">
        <f t="shared" si="270"/>
        <v>1+125,341277905847i</v>
      </c>
      <c r="AH326" s="32">
        <f t="shared" si="289"/>
        <v>125.345266951213</v>
      </c>
      <c r="AI326" s="32">
        <f t="shared" si="290"/>
        <v>1.56281827838021</v>
      </c>
      <c r="AJ326" s="32" t="str">
        <f t="shared" si="271"/>
        <v>1+1,18447507621026i</v>
      </c>
      <c r="AK326" s="32">
        <f t="shared" si="291"/>
        <v>1.5501552200226</v>
      </c>
      <c r="AL326" s="32">
        <f t="shared" si="292"/>
        <v>0.869646510655617</v>
      </c>
      <c r="AM326" s="32" t="str">
        <f t="shared" si="272"/>
        <v>1-0,349684576924451i</v>
      </c>
      <c r="AN326" s="32">
        <f t="shared" si="293"/>
        <v>1.05937684670698</v>
      </c>
      <c r="AO326" s="32">
        <f t="shared" si="294"/>
        <v>-0.336393791242218</v>
      </c>
      <c r="AP326" s="30" t="str">
        <f t="shared" si="295"/>
        <v>2,91615259078143-4,85132899298341i</v>
      </c>
      <c r="AQ326" s="32">
        <f t="shared" si="296"/>
        <v>15.0568354668712</v>
      </c>
      <c r="AR326" s="31">
        <f t="shared" si="297"/>
        <v>-58.9897612608259</v>
      </c>
      <c r="AS326" t="str">
        <f t="shared" si="273"/>
        <v>-0,000201496259351621</v>
      </c>
      <c r="AT326" t="str">
        <f t="shared" si="274"/>
        <v>0,0169739508689059i</v>
      </c>
      <c r="AU326">
        <f t="shared" si="298"/>
        <v>0.0169739508689059</v>
      </c>
      <c r="AV326">
        <f t="shared" si="299"/>
        <v>1.5707963267949</v>
      </c>
      <c r="AW326" t="str">
        <f t="shared" si="275"/>
        <v>1+0,869035151177622i</v>
      </c>
      <c r="AX326">
        <f t="shared" si="300"/>
        <v>1.32484795126924</v>
      </c>
      <c r="AY326">
        <f t="shared" si="301"/>
        <v>0.715441675100004</v>
      </c>
      <c r="AZ326" t="str">
        <f t="shared" si="276"/>
        <v>1+41,5472762701301i</v>
      </c>
      <c r="BA326">
        <f t="shared" si="302"/>
        <v>41.5593090109366</v>
      </c>
      <c r="BB326">
        <f t="shared" si="303"/>
        <v>1.54673200653612</v>
      </c>
      <c r="BC326" s="30" t="str">
        <f t="shared" si="304"/>
        <v>-0,27511491557795+0,250955443207405i</v>
      </c>
      <c r="BD326" s="32">
        <f t="shared" si="305"/>
        <v>-8.58027345994458</v>
      </c>
      <c r="BE326" s="31">
        <f t="shared" si="306"/>
        <v>137.629427541321</v>
      </c>
      <c r="BF326" s="30" t="str">
        <f t="shared" si="307"/>
        <v>0,693876451405622+0,134843940905325i</v>
      </c>
      <c r="BG326" s="68">
        <f t="shared" si="308"/>
        <v>-3.01336352340504</v>
      </c>
      <c r="BH326" s="31">
        <f t="shared" si="309"/>
        <v>10.9974555630004</v>
      </c>
      <c r="BI326" s="30" t="str">
        <f t="shared" si="316"/>
        <v>0,415190343753832+2,06649733222547i</v>
      </c>
      <c r="BJ326" s="68">
        <f t="shared" si="310"/>
        <v>6.4765620069266</v>
      </c>
      <c r="BK326" s="31">
        <f t="shared" si="317"/>
        <v>78.639666280495</v>
      </c>
      <c r="BL326" s="32">
        <f t="shared" si="311"/>
        <v>-3.01336352340504</v>
      </c>
      <c r="BM326" s="31">
        <f t="shared" si="312"/>
        <v>10.9974555630004</v>
      </c>
      <c r="BO326">
        <f t="shared" si="313"/>
        <v>0</v>
      </c>
      <c r="BP326">
        <f t="shared" si="314"/>
        <v>0</v>
      </c>
    </row>
    <row r="327" spans="14:68">
      <c r="N327" s="7">
        <v>9</v>
      </c>
      <c r="O327" s="18">
        <f t="shared" si="318"/>
        <v>12302.6877081238</v>
      </c>
      <c r="P327" s="86" t="str">
        <f t="shared" si="265"/>
        <v>54,5454545454545</v>
      </c>
      <c r="Q327" s="4" t="str">
        <f t="shared" si="266"/>
        <v>1+157,411044807423i</v>
      </c>
      <c r="R327" s="4">
        <f t="shared" si="277"/>
        <v>157.414221172563</v>
      </c>
      <c r="S327" s="4">
        <f t="shared" si="278"/>
        <v>1.56444361787994</v>
      </c>
      <c r="T327" s="4" t="str">
        <f t="shared" si="267"/>
        <v>1+1,21206504501716i</v>
      </c>
      <c r="U327" s="4">
        <f t="shared" si="279"/>
        <v>1.57133754278082</v>
      </c>
      <c r="V327" s="4">
        <f t="shared" si="280"/>
        <v>0.880973534696913</v>
      </c>
      <c r="W327" t="str">
        <f t="shared" si="268"/>
        <v>1-3,47850299909261i</v>
      </c>
      <c r="X327" s="4">
        <f t="shared" si="281"/>
        <v>3.61938988155411</v>
      </c>
      <c r="Y327" s="4">
        <f t="shared" si="282"/>
        <v>-1.29086498865339</v>
      </c>
      <c r="Z327" t="str">
        <f t="shared" si="269"/>
        <v>0,998764439797195+0,240182349937347i</v>
      </c>
      <c r="AA327" s="4">
        <f t="shared" si="283"/>
        <v>1.02723802861111</v>
      </c>
      <c r="AB327" s="4">
        <f t="shared" si="284"/>
        <v>0.23599829446029</v>
      </c>
      <c r="AC327" s="67" t="str">
        <f t="shared" si="285"/>
        <v>-1,14497149205848-1,53930334227785i</v>
      </c>
      <c r="AD327" s="68">
        <f t="shared" si="286"/>
        <v>5.65896732722002</v>
      </c>
      <c r="AE327" s="31">
        <f t="shared" si="287"/>
        <v>-126.642773205745</v>
      </c>
      <c r="AF327" s="32" t="str">
        <f t="shared" si="288"/>
        <v>432,040091031901</v>
      </c>
      <c r="AG327" s="32" t="str">
        <f t="shared" si="270"/>
        <v>1+128,260851324567i</v>
      </c>
      <c r="AH327" s="32">
        <f t="shared" si="289"/>
        <v>128.264749570966</v>
      </c>
      <c r="AI327" s="32">
        <f t="shared" si="290"/>
        <v>1.56299987348877</v>
      </c>
      <c r="AJ327" s="32" t="str">
        <f t="shared" si="271"/>
        <v>1+1,21206504501716i</v>
      </c>
      <c r="AK327" s="32">
        <f t="shared" si="291"/>
        <v>1.57133754278082</v>
      </c>
      <c r="AL327" s="32">
        <f t="shared" si="292"/>
        <v>0.880973534696913</v>
      </c>
      <c r="AM327" s="32" t="str">
        <f t="shared" si="272"/>
        <v>1-0,357829777075448i</v>
      </c>
      <c r="AN327" s="32">
        <f t="shared" si="293"/>
        <v>1.06209328656284</v>
      </c>
      <c r="AO327" s="32">
        <f t="shared" si="294"/>
        <v>-0.34363302188145</v>
      </c>
      <c r="AP327" s="30" t="str">
        <f t="shared" si="295"/>
        <v>2,91492330695673-4,80666197189387i</v>
      </c>
      <c r="AQ327" s="32">
        <f t="shared" si="296"/>
        <v>14.9969776389785</v>
      </c>
      <c r="AR327" s="31">
        <f t="shared" si="297"/>
        <v>-58.7659525846665</v>
      </c>
      <c r="AS327" t="str">
        <f t="shared" si="273"/>
        <v>-0,000201496259351621</v>
      </c>
      <c r="AT327" t="str">
        <f t="shared" si="274"/>
        <v>0,0173693249754691i</v>
      </c>
      <c r="AU327">
        <f t="shared" si="298"/>
        <v>0.0173693249754691</v>
      </c>
      <c r="AV327">
        <f t="shared" si="299"/>
        <v>1.5707963267949</v>
      </c>
      <c r="AW327" t="str">
        <f t="shared" si="275"/>
        <v>1+0,8892775802457i</v>
      </c>
      <c r="AX327">
        <f t="shared" si="300"/>
        <v>1.33821321721452</v>
      </c>
      <c r="AY327">
        <f t="shared" si="301"/>
        <v>0.726859429812753</v>
      </c>
      <c r="AZ327" t="str">
        <f t="shared" si="276"/>
        <v>1+42,5150366555763i</v>
      </c>
      <c r="BA327">
        <f t="shared" si="302"/>
        <v>42.5267955743787</v>
      </c>
      <c r="BB327">
        <f t="shared" si="303"/>
        <v>1.54727957305432</v>
      </c>
      <c r="BC327" s="30" t="str">
        <f t="shared" si="304"/>
        <v>-0,269646994298142+0,251391722643717i</v>
      </c>
      <c r="BD327" s="32">
        <f t="shared" si="305"/>
        <v>-8.6675721615163</v>
      </c>
      <c r="BE327" s="31">
        <f t="shared" si="306"/>
        <v>137.00661163526</v>
      </c>
      <c r="BF327" s="30" t="str">
        <f t="shared" si="307"/>
        <v>0,695706240277088+0,127232163791778i</v>
      </c>
      <c r="BG327" s="68">
        <f t="shared" si="308"/>
        <v>-3.00860483429628</v>
      </c>
      <c r="BH327" s="31">
        <f t="shared" si="309"/>
        <v>10.3638384295147</v>
      </c>
      <c r="BI327" s="30" t="str">
        <f t="shared" si="316"/>
        <v>0,422354724949963+2,02888954483854i</v>
      </c>
      <c r="BJ327" s="68">
        <f t="shared" si="310"/>
        <v>6.32940547746227</v>
      </c>
      <c r="BK327" s="31">
        <f t="shared" si="317"/>
        <v>78.2406590505936</v>
      </c>
      <c r="BL327" s="32">
        <f t="shared" si="311"/>
        <v>-3.00860483429628</v>
      </c>
      <c r="BM327" s="31">
        <f t="shared" si="312"/>
        <v>10.3638384295147</v>
      </c>
      <c r="BO327">
        <f t="shared" si="313"/>
        <v>0</v>
      </c>
      <c r="BP327">
        <f t="shared" si="314"/>
        <v>0</v>
      </c>
    </row>
    <row r="328" spans="14:68">
      <c r="N328" s="7">
        <v>10</v>
      </c>
      <c r="O328" s="18">
        <f t="shared" si="318"/>
        <v>12589.2541179417</v>
      </c>
      <c r="P328" s="86" t="str">
        <f t="shared" si="265"/>
        <v>54,5454545454545</v>
      </c>
      <c r="Q328" s="4" t="str">
        <f t="shared" si="266"/>
        <v>1+161,077619059028i</v>
      </c>
      <c r="R328" s="4">
        <f t="shared" si="277"/>
        <v>161.08072312268</v>
      </c>
      <c r="S328" s="4">
        <f t="shared" si="278"/>
        <v>1.56458821943061</v>
      </c>
      <c r="T328" s="4" t="str">
        <f t="shared" si="267"/>
        <v>1+1,24029766675452i</v>
      </c>
      <c r="U328" s="4">
        <f t="shared" si="279"/>
        <v>1.59321633878036</v>
      </c>
      <c r="V328" s="4">
        <f t="shared" si="280"/>
        <v>0.892251121458909</v>
      </c>
      <c r="W328" t="str">
        <f t="shared" si="268"/>
        <v>1-3,55952774259907i</v>
      </c>
      <c r="X328" s="4">
        <f t="shared" si="281"/>
        <v>3.69732846124502</v>
      </c>
      <c r="Y328" s="4">
        <f t="shared" si="282"/>
        <v>-1.29691974842273</v>
      </c>
      <c r="Z328" t="str">
        <f t="shared" si="269"/>
        <v>0,998706209638807+0,245776915560412i</v>
      </c>
      <c r="AA328" s="4">
        <f t="shared" si="283"/>
        <v>1.02850395497222</v>
      </c>
      <c r="AB328" s="4">
        <f t="shared" si="284"/>
        <v>0.241300299076143</v>
      </c>
      <c r="AC328" s="67" t="str">
        <f t="shared" si="285"/>
        <v>-1,15784053025585-1,5558773330301i</v>
      </c>
      <c r="AD328" s="68">
        <f t="shared" si="286"/>
        <v>5.75343628092517</v>
      </c>
      <c r="AE328" s="31">
        <f t="shared" si="287"/>
        <v>-126.655594807951</v>
      </c>
      <c r="AF328" s="32" t="str">
        <f t="shared" si="288"/>
        <v>432,040091031901</v>
      </c>
      <c r="AG328" s="32" t="str">
        <f t="shared" si="270"/>
        <v>1+131,248430344393i</v>
      </c>
      <c r="AH328" s="32">
        <f t="shared" si="289"/>
        <v>131.252239858476</v>
      </c>
      <c r="AI328" s="32">
        <f t="shared" si="290"/>
        <v>1.56317733548487</v>
      </c>
      <c r="AJ328" s="32" t="str">
        <f t="shared" si="271"/>
        <v>1+1,24029766675452i</v>
      </c>
      <c r="AK328" s="32">
        <f t="shared" si="291"/>
        <v>1.59321633878036</v>
      </c>
      <c r="AL328" s="32">
        <f t="shared" si="292"/>
        <v>0.892251121458909</v>
      </c>
      <c r="AM328" s="32" t="str">
        <f t="shared" si="272"/>
        <v>1-0,366164703310692i</v>
      </c>
      <c r="AN328" s="32">
        <f t="shared" si="293"/>
        <v>1.0649303216411</v>
      </c>
      <c r="AO328" s="32">
        <f t="shared" si="294"/>
        <v>-0.351002247188823</v>
      </c>
      <c r="AP328" s="30" t="str">
        <f t="shared" si="295"/>
        <v>2,91374934344346-4,76454264370246i</v>
      </c>
      <c r="AQ328" s="32">
        <f t="shared" si="296"/>
        <v>14.9402653956139</v>
      </c>
      <c r="AR328" s="31">
        <f t="shared" si="297"/>
        <v>-58.5521877919056</v>
      </c>
      <c r="AS328" t="str">
        <f t="shared" si="273"/>
        <v>-0,000201496259351621</v>
      </c>
      <c r="AT328" t="str">
        <f t="shared" si="274"/>
        <v>0,0177739085280447i</v>
      </c>
      <c r="AU328">
        <f t="shared" si="298"/>
        <v>0.0177739085280447</v>
      </c>
      <c r="AV328">
        <f t="shared" si="299"/>
        <v>1.5707963267949</v>
      </c>
      <c r="AW328" t="str">
        <f t="shared" si="275"/>
        <v>1+0,909991516057813i</v>
      </c>
      <c r="AX328">
        <f t="shared" si="300"/>
        <v>1.3520667732391</v>
      </c>
      <c r="AY328">
        <f t="shared" si="301"/>
        <v>0.738307931645276</v>
      </c>
      <c r="AZ328" t="str">
        <f t="shared" si="276"/>
        <v>1+43,5053390762107i</v>
      </c>
      <c r="BA328">
        <f t="shared" si="302"/>
        <v>43.5168304008468</v>
      </c>
      <c r="BB328">
        <f t="shared" si="303"/>
        <v>1.54781468906628</v>
      </c>
      <c r="BC328" s="30" t="str">
        <f t="shared" si="304"/>
        <v>-0,26414958528622+0,251710513533812i</v>
      </c>
      <c r="BD328" s="32">
        <f t="shared" si="305"/>
        <v>-8.75713674702608</v>
      </c>
      <c r="BE328" s="31">
        <f t="shared" si="306"/>
        <v>136.381320687544</v>
      </c>
      <c r="BF328" s="30" t="str">
        <f t="shared" si="307"/>
        <v>0,697473778387284+0,11954371781517i</v>
      </c>
      <c r="BG328" s="68">
        <f t="shared" si="308"/>
        <v>-3.00370046610091</v>
      </c>
      <c r="BH328" s="31">
        <f t="shared" si="309"/>
        <v>9.72572587959363</v>
      </c>
      <c r="BI328" s="30" t="str">
        <f t="shared" si="316"/>
        <v>0,429619794901507+1,99197330695948i</v>
      </c>
      <c r="BJ328" s="68">
        <f t="shared" si="310"/>
        <v>6.18312864858782</v>
      </c>
      <c r="BK328" s="31">
        <f t="shared" si="317"/>
        <v>77.8291328956388</v>
      </c>
      <c r="BL328" s="32">
        <f t="shared" si="311"/>
        <v>-3.00370046610091</v>
      </c>
      <c r="BM328" s="31">
        <f t="shared" si="312"/>
        <v>9.72572587959363</v>
      </c>
      <c r="BO328">
        <f t="shared" si="313"/>
        <v>0</v>
      </c>
      <c r="BP328">
        <f t="shared" si="314"/>
        <v>0</v>
      </c>
    </row>
    <row r="329" spans="14:68">
      <c r="N329" s="7">
        <v>11</v>
      </c>
      <c r="O329" s="18">
        <f t="shared" si="318"/>
        <v>12882.4955169314</v>
      </c>
      <c r="P329" s="86" t="str">
        <f t="shared" si="265"/>
        <v>54,5454545454545</v>
      </c>
      <c r="Q329" s="4" t="str">
        <f t="shared" si="266"/>
        <v>1+164,829598796373i</v>
      </c>
      <c r="R329" s="4">
        <f t="shared" si="277"/>
        <v>164.832632204225</v>
      </c>
      <c r="S329" s="4">
        <f t="shared" si="278"/>
        <v>1.56472952969901</v>
      </c>
      <c r="T329" s="4" t="str">
        <f t="shared" si="267"/>
        <v>1+1,26918791073207i</v>
      </c>
      <c r="U329" s="4">
        <f t="shared" si="279"/>
        <v>1.61580876119312</v>
      </c>
      <c r="V329" s="4">
        <f t="shared" si="280"/>
        <v>0.903473776548129</v>
      </c>
      <c r="W329" t="str">
        <f t="shared" si="268"/>
        <v>1-3,64243979483057i</v>
      </c>
      <c r="X329" s="4">
        <f t="shared" si="281"/>
        <v>3.77721691976584</v>
      </c>
      <c r="Y329" s="4">
        <f t="shared" si="282"/>
        <v>-1.30285665555892</v>
      </c>
      <c r="Z329" t="str">
        <f t="shared" si="269"/>
        <v>0,998645235177602+0,251501795357349i</v>
      </c>
      <c r="AA329" s="4">
        <f t="shared" si="283"/>
        <v>1.02982787824515</v>
      </c>
      <c r="AB329" s="4">
        <f t="shared" si="284"/>
        <v>0.246712482115428</v>
      </c>
      <c r="AC329" s="67" t="str">
        <f t="shared" si="285"/>
        <v>-1,17123962508009-1,57300315960125i</v>
      </c>
      <c r="AD329" s="68">
        <f t="shared" si="286"/>
        <v>5.85025224007101</v>
      </c>
      <c r="AE329" s="31">
        <f t="shared" si="287"/>
        <v>-126.670935486757</v>
      </c>
      <c r="AF329" s="32" t="str">
        <f t="shared" si="288"/>
        <v>432,040091031901</v>
      </c>
      <c r="AG329" s="32" t="str">
        <f t="shared" si="270"/>
        <v>1+134,305599019267i</v>
      </c>
      <c r="AH329" s="32">
        <f t="shared" si="289"/>
        <v>134.309321820654</v>
      </c>
      <c r="AI329" s="32">
        <f t="shared" si="290"/>
        <v>1.56335075841648</v>
      </c>
      <c r="AJ329" s="32" t="str">
        <f t="shared" si="271"/>
        <v>1+1,26918791073207i</v>
      </c>
      <c r="AK329" s="32">
        <f t="shared" si="291"/>
        <v>1.61580876119312</v>
      </c>
      <c r="AL329" s="32">
        <f t="shared" si="292"/>
        <v>0.903473776548129</v>
      </c>
      <c r="AM329" s="32" t="str">
        <f t="shared" si="272"/>
        <v>1-0,374693774918393i</v>
      </c>
      <c r="AN329" s="32">
        <f t="shared" si="293"/>
        <v>1.06789298385306</v>
      </c>
      <c r="AO329" s="32">
        <f t="shared" si="294"/>
        <v>-0.358502171941065</v>
      </c>
      <c r="AP329" s="30" t="str">
        <f t="shared" si="295"/>
        <v>2,91262821099586-4,72494873377226i</v>
      </c>
      <c r="AQ329" s="32">
        <f t="shared" si="296"/>
        <v>14.886711690271</v>
      </c>
      <c r="AR329" s="31">
        <f t="shared" si="297"/>
        <v>-58.3488274573836</v>
      </c>
      <c r="AS329" t="str">
        <f t="shared" si="273"/>
        <v>-0,000201496259351621</v>
      </c>
      <c r="AT329" t="str">
        <f t="shared" si="274"/>
        <v>0,0181879160421873i</v>
      </c>
      <c r="AU329">
        <f t="shared" si="298"/>
        <v>0.0181879160421873</v>
      </c>
      <c r="AV329">
        <f t="shared" si="299"/>
        <v>1.5707963267949</v>
      </c>
      <c r="AW329" t="str">
        <f t="shared" si="275"/>
        <v>1+0,931187941416903i</v>
      </c>
      <c r="AX329">
        <f t="shared" si="300"/>
        <v>1.36642269530342</v>
      </c>
      <c r="AY329">
        <f t="shared" si="301"/>
        <v>0.749781247440876</v>
      </c>
      <c r="AZ329" t="str">
        <f t="shared" si="276"/>
        <v>1+44,5187086034846i</v>
      </c>
      <c r="BA329">
        <f t="shared" si="302"/>
        <v>44.5299384203703</v>
      </c>
      <c r="BB329">
        <f t="shared" si="303"/>
        <v>1.54833763707106</v>
      </c>
      <c r="BC329" s="30" t="str">
        <f t="shared" si="304"/>
        <v>-0,258628320865588+0,251910152403845i</v>
      </c>
      <c r="BD329" s="32">
        <f t="shared" si="305"/>
        <v>-8.84897849589014</v>
      </c>
      <c r="BE329" s="31">
        <f t="shared" si="306"/>
        <v>135.753910829014</v>
      </c>
      <c r="BF329" s="30" t="str">
        <f t="shared" si="307"/>
        <v>0,699171203232585+0,111776013428588i</v>
      </c>
      <c r="BG329" s="68">
        <f t="shared" si="308"/>
        <v>-2.99872625581913</v>
      </c>
      <c r="BH329" s="31">
        <f t="shared" si="309"/>
        <v>9.0829753422575</v>
      </c>
      <c r="BI329" s="30" t="str">
        <f t="shared" si="316"/>
        <v>0,436974412109324+1,95572617371921i</v>
      </c>
      <c r="BJ329" s="68">
        <f t="shared" si="310"/>
        <v>6.03773319438081</v>
      </c>
      <c r="BK329" s="31">
        <f t="shared" si="317"/>
        <v>77.4050833716305</v>
      </c>
      <c r="BL329" s="32">
        <f t="shared" si="311"/>
        <v>-2.99872625581913</v>
      </c>
      <c r="BM329" s="31">
        <f t="shared" si="312"/>
        <v>9.0829753422575</v>
      </c>
      <c r="BO329">
        <f t="shared" si="313"/>
        <v>0</v>
      </c>
      <c r="BP329">
        <f t="shared" si="314"/>
        <v>0</v>
      </c>
    </row>
    <row r="330" spans="14:68">
      <c r="N330" s="7">
        <v>12</v>
      </c>
      <c r="O330" s="18">
        <f t="shared" si="318"/>
        <v>13182.5673855641</v>
      </c>
      <c r="P330" s="86" t="str">
        <f t="shared" si="265"/>
        <v>54,5454545454545</v>
      </c>
      <c r="Q330" s="4" t="str">
        <f t="shared" si="266"/>
        <v>1+168,668973368776i</v>
      </c>
      <c r="R330" s="4">
        <f t="shared" si="277"/>
        <v>168.671937729063</v>
      </c>
      <c r="S330" s="4">
        <f t="shared" si="278"/>
        <v>1.56486762358711</v>
      </c>
      <c r="T330" s="4" t="str">
        <f t="shared" si="267"/>
        <v>1+1,29875109493958i</v>
      </c>
      <c r="U330" s="4">
        <f t="shared" si="279"/>
        <v>1.63913221144811</v>
      </c>
      <c r="V330" s="4">
        <f t="shared" si="280"/>
        <v>0.914636143224373</v>
      </c>
      <c r="W330" t="str">
        <f t="shared" si="268"/>
        <v>1-3,72728311685466i</v>
      </c>
      <c r="X330" s="4">
        <f t="shared" si="281"/>
        <v>3.85909826684807</v>
      </c>
      <c r="Y330" s="4">
        <f t="shared" si="282"/>
        <v>-1.30867718316324</v>
      </c>
      <c r="Z330" t="str">
        <f t="shared" si="269"/>
        <v>0,998581387078572+0,257360024735202i</v>
      </c>
      <c r="AA330" s="4">
        <f t="shared" si="283"/>
        <v>1.03121237819931</v>
      </c>
      <c r="AB330" s="4">
        <f t="shared" si="284"/>
        <v>0.252236530503401</v>
      </c>
      <c r="AC330" s="67" t="str">
        <f t="shared" si="285"/>
        <v>-1,18518826035794-1,59067262716754i</v>
      </c>
      <c r="AD330" s="68">
        <f t="shared" si="286"/>
        <v>5.94934871896822</v>
      </c>
      <c r="AE330" s="31">
        <f t="shared" si="287"/>
        <v>-126.689287508519</v>
      </c>
      <c r="AF330" s="32" t="str">
        <f t="shared" si="288"/>
        <v>432,040091031901</v>
      </c>
      <c r="AG330" s="32" t="str">
        <f t="shared" si="270"/>
        <v>1+137,433978300484i</v>
      </c>
      <c r="AH330" s="32">
        <f t="shared" si="289"/>
        <v>137.437616362835</v>
      </c>
      <c r="AI330" s="32">
        <f t="shared" si="290"/>
        <v>1.56352023419299</v>
      </c>
      <c r="AJ330" s="32" t="str">
        <f t="shared" si="271"/>
        <v>1+1,29875109493958i</v>
      </c>
      <c r="AK330" s="32">
        <f t="shared" si="291"/>
        <v>1.63913221144811</v>
      </c>
      <c r="AL330" s="32">
        <f t="shared" si="292"/>
        <v>0.914636143224373</v>
      </c>
      <c r="AM330" s="32" t="str">
        <f t="shared" si="272"/>
        <v>1-0,383421514125213i</v>
      </c>
      <c r="AN330" s="32">
        <f t="shared" si="293"/>
        <v>1.07098648800723</v>
      </c>
      <c r="AO330" s="32">
        <f t="shared" si="294"/>
        <v>-0.366133396810009</v>
      </c>
      <c r="AP330" s="30" t="str">
        <f t="shared" si="295"/>
        <v>2,91155753235192-4,68785930263364i</v>
      </c>
      <c r="AQ330" s="32">
        <f t="shared" si="296"/>
        <v>14.8363282212942</v>
      </c>
      <c r="AR330" s="31">
        <f t="shared" si="297"/>
        <v>-58.1562181816867</v>
      </c>
      <c r="AS330" t="str">
        <f t="shared" si="273"/>
        <v>-0,000201496259351621</v>
      </c>
      <c r="AT330" t="str">
        <f t="shared" si="274"/>
        <v>0,0186115670301609i</v>
      </c>
      <c r="AU330">
        <f t="shared" si="298"/>
        <v>0.0186115670301609</v>
      </c>
      <c r="AV330">
        <f t="shared" si="299"/>
        <v>1.5707963267949</v>
      </c>
      <c r="AW330" t="str">
        <f t="shared" si="275"/>
        <v>1+0,952878094948255i</v>
      </c>
      <c r="AX330">
        <f t="shared" si="300"/>
        <v>1.38129528480778</v>
      </c>
      <c r="AY330">
        <f t="shared" si="301"/>
        <v>0.761273379015208</v>
      </c>
      <c r="AZ330" t="str">
        <f t="shared" si="276"/>
        <v>1+45,5556825393346i</v>
      </c>
      <c r="BA330">
        <f t="shared" si="302"/>
        <v>45.5666567966604</v>
      </c>
      <c r="BB330">
        <f t="shared" si="303"/>
        <v>1.54884869319785</v>
      </c>
      <c r="BC330" s="30" t="str">
        <f t="shared" si="304"/>
        <v>-0,253088933088211+0,251989299879303i</v>
      </c>
      <c r="BD330" s="32">
        <f t="shared" si="305"/>
        <v>-8.9431063230268</v>
      </c>
      <c r="BE330" s="31">
        <f t="shared" si="306"/>
        <v>135.124741551356</v>
      </c>
      <c r="BF330" s="30" t="str">
        <f t="shared" si="307"/>
        <v>0,700790513979784+0,103926878149688i</v>
      </c>
      <c r="BG330" s="68">
        <f t="shared" si="308"/>
        <v>-2.99375760405859</v>
      </c>
      <c r="BH330" s="31">
        <f t="shared" si="309"/>
        <v>8.43545404283641</v>
      </c>
      <c r="BI330" s="30" t="str">
        <f t="shared" si="316"/>
        <v>0,444407394115437+1,92012665350686i</v>
      </c>
      <c r="BJ330" s="68">
        <f t="shared" si="310"/>
        <v>5.89322189826739</v>
      </c>
      <c r="BK330" s="31">
        <f t="shared" si="317"/>
        <v>76.9685233696688</v>
      </c>
      <c r="BL330" s="32">
        <f t="shared" si="311"/>
        <v>-2.99375760405859</v>
      </c>
      <c r="BM330" s="31">
        <f t="shared" si="312"/>
        <v>8.43545404283641</v>
      </c>
      <c r="BO330">
        <f t="shared" si="313"/>
        <v>0</v>
      </c>
      <c r="BP330">
        <f t="shared" si="314"/>
        <v>0</v>
      </c>
    </row>
    <row r="331" spans="14:68">
      <c r="N331" s="7">
        <v>13</v>
      </c>
      <c r="O331" s="18">
        <f t="shared" si="318"/>
        <v>13489.6288259166</v>
      </c>
      <c r="P331" s="86" t="str">
        <f t="shared" si="265"/>
        <v>54,5454545454545</v>
      </c>
      <c r="Q331" s="4" t="str">
        <f t="shared" si="266"/>
        <v>1+172,597778463458i</v>
      </c>
      <c r="R331" s="4">
        <f t="shared" si="277"/>
        <v>172.600675347812</v>
      </c>
      <c r="S331" s="4">
        <f t="shared" si="278"/>
        <v>1.56500257429305</v>
      </c>
      <c r="T331" s="4" t="str">
        <f t="shared" si="267"/>
        <v>1+1,32900289416863i</v>
      </c>
      <c r="U331" s="4">
        <f t="shared" si="279"/>
        <v>1.66320434484419</v>
      </c>
      <c r="V331" s="4">
        <f t="shared" si="280"/>
        <v>0.925733013956323</v>
      </c>
      <c r="W331" t="str">
        <f t="shared" si="268"/>
        <v>1-3,81410269372375i</v>
      </c>
      <c r="X331" s="4">
        <f t="shared" si="281"/>
        <v>3.94301653030656</v>
      </c>
      <c r="Y331" s="4">
        <f t="shared" si="282"/>
        <v>-1.31438283918971</v>
      </c>
      <c r="Z331" t="str">
        <f t="shared" si="269"/>
        <v>0,998514529911339+0,263354709804735i</v>
      </c>
      <c r="AA331" s="4">
        <f t="shared" si="283"/>
        <v>1.03266014236069</v>
      </c>
      <c r="AB331" s="4">
        <f t="shared" si="284"/>
        <v>0.257874115853175</v>
      </c>
      <c r="AC331" s="67" t="str">
        <f t="shared" si="285"/>
        <v>-1,19970632588902-1,60887684121229i</v>
      </c>
      <c r="AD331" s="68">
        <f t="shared" si="286"/>
        <v>6.05065736610906</v>
      </c>
      <c r="AE331" s="31">
        <f t="shared" si="287"/>
        <v>-126.711135612525</v>
      </c>
      <c r="AF331" s="32" t="str">
        <f t="shared" si="288"/>
        <v>432,040091031901</v>
      </c>
      <c r="AG331" s="32" t="str">
        <f t="shared" si="270"/>
        <v>1+140,635226896151i</v>
      </c>
      <c r="AH331" s="32">
        <f t="shared" si="289"/>
        <v>140.638782148211</v>
      </c>
      <c r="AI331" s="32">
        <f t="shared" si="290"/>
        <v>1.56368585263372</v>
      </c>
      <c r="AJ331" s="32" t="str">
        <f t="shared" si="271"/>
        <v>1+1,32900289416863i</v>
      </c>
      <c r="AK331" s="32">
        <f t="shared" si="291"/>
        <v>1.66320434484419</v>
      </c>
      <c r="AL331" s="32">
        <f t="shared" si="292"/>
        <v>0.925733013956323</v>
      </c>
      <c r="AM331" s="32" t="str">
        <f t="shared" si="272"/>
        <v>1-0,392352548494008i</v>
      </c>
      <c r="AN331" s="32">
        <f t="shared" si="293"/>
        <v>1.07421623629032</v>
      </c>
      <c r="AO331" s="32">
        <f t="shared" si="294"/>
        <v>-0.373896411694183</v>
      </c>
      <c r="AP331" s="30" t="str">
        <f t="shared" si="295"/>
        <v>2,91053503719747-4,65325473513792i</v>
      </c>
      <c r="AQ331" s="32">
        <f t="shared" si="296"/>
        <v>14.7891255001798</v>
      </c>
      <c r="AR331" s="31">
        <f t="shared" si="297"/>
        <v>-57.9746915497679</v>
      </c>
      <c r="AS331" t="str">
        <f t="shared" si="273"/>
        <v>-0,000201496259351621</v>
      </c>
      <c r="AT331" t="str">
        <f t="shared" si="274"/>
        <v>0,0190450861173272i</v>
      </c>
      <c r="AU331">
        <f t="shared" si="298"/>
        <v>0.0190450861173272</v>
      </c>
      <c r="AV331">
        <f t="shared" si="299"/>
        <v>1.5707963267949</v>
      </c>
      <c r="AW331" t="str">
        <f t="shared" si="275"/>
        <v>1+0,975073477058387i</v>
      </c>
      <c r="AX331">
        <f t="shared" si="300"/>
        <v>1.39669906768163</v>
      </c>
      <c r="AY331">
        <f t="shared" si="301"/>
        <v>0.772778278649524</v>
      </c>
      <c r="AZ331" t="str">
        <f t="shared" si="276"/>
        <v>1+46,6168107010679i</v>
      </c>
      <c r="BA331">
        <f t="shared" si="302"/>
        <v>46.6275352119239</v>
      </c>
      <c r="BB331">
        <f t="shared" si="303"/>
        <v>1.54934812734695</v>
      </c>
      <c r="BC331" s="30" t="str">
        <f t="shared" si="304"/>
        <v>-0,247537230205918+0,251946948285127i</v>
      </c>
      <c r="BD331" s="32">
        <f t="shared" si="305"/>
        <v>-9.03952674285821</v>
      </c>
      <c r="BE331" s="31">
        <f t="shared" si="306"/>
        <v>134.494174827475</v>
      </c>
      <c r="BF331" s="30" t="str">
        <f t="shared" si="307"/>
        <v>0,702323591281138+0,0959945693700362i</v>
      </c>
      <c r="BG331" s="68">
        <f t="shared" si="308"/>
        <v>-2.98886937674915</v>
      </c>
      <c r="BH331" s="31">
        <f t="shared" si="309"/>
        <v>7.78303921494998</v>
      </c>
      <c r="BI331" s="30" t="str">
        <f t="shared" si="316"/>
        <v>0,451907548586176+1,88515420907745i</v>
      </c>
      <c r="BJ331" s="68">
        <f t="shared" si="310"/>
        <v>5.74959875732153</v>
      </c>
      <c r="BK331" s="31">
        <f t="shared" si="317"/>
        <v>76.5194832777074</v>
      </c>
      <c r="BL331" s="32">
        <f t="shared" si="311"/>
        <v>-2.98886937674915</v>
      </c>
      <c r="BM331" s="31">
        <f t="shared" si="312"/>
        <v>7.78303921494998</v>
      </c>
      <c r="BO331">
        <f t="shared" si="313"/>
        <v>0</v>
      </c>
      <c r="BP331">
        <f t="shared" si="314"/>
        <v>0</v>
      </c>
    </row>
    <row r="332" spans="14:68">
      <c r="N332" s="7">
        <v>14</v>
      </c>
      <c r="O332" s="18">
        <f t="shared" si="318"/>
        <v>13803.8426460288</v>
      </c>
      <c r="P332" s="86" t="str">
        <f t="shared" si="265"/>
        <v>54,5454545454545</v>
      </c>
      <c r="Q332" s="4" t="str">
        <f t="shared" si="266"/>
        <v>1+176,618097184881i</v>
      </c>
      <c r="R332" s="4">
        <f t="shared" si="277"/>
        <v>176.620928129166</v>
      </c>
      <c r="S332" s="4">
        <f t="shared" si="278"/>
        <v>1.56513445334981</v>
      </c>
      <c r="T332" s="4" t="str">
        <f t="shared" si="267"/>
        <v>1+1,35995934832359i</v>
      </c>
      <c r="U332" s="4">
        <f t="shared" si="279"/>
        <v>1.68804307678824</v>
      </c>
      <c r="V332" s="4">
        <f t="shared" si="280"/>
        <v>0.936759341106375</v>
      </c>
      <c r="W332" t="str">
        <f t="shared" si="268"/>
        <v>1-3,90294455832662i</v>
      </c>
      <c r="X332" s="4">
        <f t="shared" si="281"/>
        <v>4.02901678147056</v>
      </c>
      <c r="Y332" s="4">
        <f t="shared" si="282"/>
        <v>-1.31997516228231</v>
      </c>
      <c r="Z332" t="str">
        <f t="shared" si="269"/>
        <v>0,998444521862887+0,269489029027314i</v>
      </c>
      <c r="AA332" s="4">
        <f t="shared" si="283"/>
        <v>1.03417396989293</v>
      </c>
      <c r="AB332" s="4">
        <f t="shared" si="284"/>
        <v>0.263626891110657</v>
      </c>
      <c r="AC332" s="67" t="str">
        <f t="shared" si="285"/>
        <v>-1,21481409996633-1,6276061582525i</v>
      </c>
      <c r="AD332" s="68">
        <f t="shared" si="286"/>
        <v>6.15410803182609</v>
      </c>
      <c r="AE332" s="31">
        <f t="shared" si="287"/>
        <v>-126.736955970276</v>
      </c>
      <c r="AF332" s="32" t="str">
        <f t="shared" si="288"/>
        <v>432,040091031901</v>
      </c>
      <c r="AG332" s="32" t="str">
        <f t="shared" si="270"/>
        <v>1+143,911042150644i</v>
      </c>
      <c r="AH332" s="32">
        <f t="shared" si="289"/>
        <v>143.914516477263</v>
      </c>
      <c r="AI332" s="32">
        <f t="shared" si="290"/>
        <v>1.56384770151542</v>
      </c>
      <c r="AJ332" s="32" t="str">
        <f t="shared" si="271"/>
        <v>1+1,35995934832359i</v>
      </c>
      <c r="AK332" s="32">
        <f t="shared" si="291"/>
        <v>1.68804307678824</v>
      </c>
      <c r="AL332" s="32">
        <f t="shared" si="292"/>
        <v>0.936759341106375</v>
      </c>
      <c r="AM332" s="32" t="str">
        <f t="shared" si="272"/>
        <v>1-0,401491613377409i</v>
      </c>
      <c r="AN332" s="32">
        <f t="shared" si="293"/>
        <v>1.07758782269122</v>
      </c>
      <c r="AO332" s="32">
        <f t="shared" si="294"/>
        <v>-0.381791588957597</v>
      </c>
      <c r="AP332" s="30" t="str">
        <f t="shared" si="295"/>
        <v>2,9095585573571-4,62111673029689i</v>
      </c>
      <c r="AQ332" s="32">
        <f t="shared" si="296"/>
        <v>14.7451129221028</v>
      </c>
      <c r="AR332" s="31">
        <f t="shared" si="297"/>
        <v>-57.8045631340808</v>
      </c>
      <c r="AS332" t="str">
        <f t="shared" si="273"/>
        <v>-0,000201496259351621</v>
      </c>
      <c r="AT332" t="str">
        <f t="shared" si="274"/>
        <v>0,0194887031612443i</v>
      </c>
      <c r="AU332">
        <f t="shared" si="298"/>
        <v>0.0194887031612443</v>
      </c>
      <c r="AV332">
        <f t="shared" si="299"/>
        <v>1.5707963267949</v>
      </c>
      <c r="AW332" t="str">
        <f t="shared" si="275"/>
        <v>1+0,997785856032667i</v>
      </c>
      <c r="AX332">
        <f t="shared" si="300"/>
        <v>1.41264879375549</v>
      </c>
      <c r="AY332">
        <f t="shared" si="301"/>
        <v>0.784289864900848</v>
      </c>
      <c r="AZ332" t="str">
        <f t="shared" si="276"/>
        <v>1+47,7026557128809i</v>
      </c>
      <c r="BA332">
        <f t="shared" si="302"/>
        <v>47.7131361583123</v>
      </c>
      <c r="BB332">
        <f t="shared" si="303"/>
        <v>1.54983620332776</v>
      </c>
      <c r="BC332" s="30" t="str">
        <f t="shared" si="304"/>
        <v>-0,241979072463608+0,251782427183164i</v>
      </c>
      <c r="BD332" s="32">
        <f t="shared" si="305"/>
        <v>-9.13824384318303</v>
      </c>
      <c r="BE332" s="31">
        <f t="shared" si="306"/>
        <v>133.862574213556</v>
      </c>
      <c r="BF332" s="30" t="str">
        <f t="shared" si="307"/>
        <v>0,703762218148645+0,087977785844143i</v>
      </c>
      <c r="BG332" s="68">
        <f t="shared" si="308"/>
        <v>-2.98413581135694</v>
      </c>
      <c r="BH332" s="31">
        <f t="shared" si="309"/>
        <v>7.12561824328046</v>
      </c>
      <c r="BI332" s="30" t="str">
        <f t="shared" si="316"/>
        <v>0,459463705663053+1,85078925574622i</v>
      </c>
      <c r="BJ332" s="68">
        <f t="shared" si="310"/>
        <v>5.60686907891973</v>
      </c>
      <c r="BK332" s="31">
        <f t="shared" si="317"/>
        <v>76.0580110794753</v>
      </c>
      <c r="BL332" s="32">
        <f t="shared" si="311"/>
        <v>-2.98413581135694</v>
      </c>
      <c r="BM332" s="31">
        <f t="shared" si="312"/>
        <v>7.12561824328046</v>
      </c>
      <c r="BO332">
        <f t="shared" si="313"/>
        <v>0</v>
      </c>
      <c r="BP332">
        <f t="shared" si="314"/>
        <v>0</v>
      </c>
    </row>
    <row r="333" spans="14:68">
      <c r="N333" s="7">
        <v>15</v>
      </c>
      <c r="O333" s="18">
        <f t="shared" si="318"/>
        <v>14125.3754462276</v>
      </c>
      <c r="P333" s="86" t="str">
        <f t="shared" si="265"/>
        <v>54,5454545454545</v>
      </c>
      <c r="Q333" s="4" t="str">
        <f t="shared" si="266"/>
        <v>1+180,732061159251i</v>
      </c>
      <c r="R333" s="4">
        <f t="shared" si="277"/>
        <v>180.734827664375</v>
      </c>
      <c r="S333" s="4">
        <f t="shared" si="278"/>
        <v>1.56526333066304</v>
      </c>
      <c r="T333" s="4" t="str">
        <f t="shared" si="267"/>
        <v>1+1,39163687092624i</v>
      </c>
      <c r="U333" s="4">
        <f t="shared" si="279"/>
        <v>1.7136665896613</v>
      </c>
      <c r="V333" s="4">
        <f t="shared" si="280"/>
        <v>0.947710246701656</v>
      </c>
      <c r="W333" t="str">
        <f t="shared" si="268"/>
        <v>1-3,99385581579597i</v>
      </c>
      <c r="X333" s="4">
        <f t="shared" si="281"/>
        <v>4.11714516107549</v>
      </c>
      <c r="Y333" s="4">
        <f t="shared" si="282"/>
        <v>-1.32545571782194</v>
      </c>
      <c r="Z333" t="str">
        <f t="shared" si="269"/>
        <v>0,99837121443676+0,275766234900197i</v>
      </c>
      <c r="AA333" s="4">
        <f t="shared" si="283"/>
        <v>1.03575677556411</v>
      </c>
      <c r="AB333" s="4">
        <f t="shared" si="284"/>
        <v>0.269496487000983</v>
      </c>
      <c r="AC333" s="67" t="str">
        <f t="shared" si="285"/>
        <v>-1,23053222869542-1,64685013551104i</v>
      </c>
      <c r="AD333" s="68">
        <f t="shared" si="286"/>
        <v>6.2596288408361</v>
      </c>
      <c r="AE333" s="31">
        <f t="shared" si="287"/>
        <v>-126.767215197714</v>
      </c>
      <c r="AF333" s="32" t="str">
        <f t="shared" si="288"/>
        <v>432,040091031901</v>
      </c>
      <c r="AG333" s="32" t="str">
        <f t="shared" si="270"/>
        <v>1+147,263160944575i</v>
      </c>
      <c r="AH333" s="32">
        <f t="shared" si="289"/>
        <v>147.266556187709</v>
      </c>
      <c r="AI333" s="32">
        <f t="shared" si="290"/>
        <v>1.56400586661856</v>
      </c>
      <c r="AJ333" s="32" t="str">
        <f t="shared" si="271"/>
        <v>1+1,39163687092624i</v>
      </c>
      <c r="AK333" s="32">
        <f t="shared" si="291"/>
        <v>1.7136665896613</v>
      </c>
      <c r="AL333" s="32">
        <f t="shared" si="292"/>
        <v>0.947710246701656</v>
      </c>
      <c r="AM333" s="32" t="str">
        <f t="shared" si="272"/>
        <v>1-0,4108435544286i</v>
      </c>
      <c r="AN333" s="32">
        <f t="shared" si="293"/>
        <v>1.08110703735362</v>
      </c>
      <c r="AO333" s="32">
        <f t="shared" si="294"/>
        <v>-0.389819176600948</v>
      </c>
      <c r="AP333" s="30" t="str">
        <f t="shared" si="295"/>
        <v>2,90862602220072-4,59142829180245i</v>
      </c>
      <c r="AQ333" s="32">
        <f t="shared" si="296"/>
        <v>14.7042988377319</v>
      </c>
      <c r="AR333" s="31">
        <f t="shared" si="297"/>
        <v>-57.6461315461362</v>
      </c>
      <c r="AS333" t="str">
        <f t="shared" si="273"/>
        <v>-0,000201496259351621</v>
      </c>
      <c r="AT333" t="str">
        <f t="shared" si="274"/>
        <v>0,0199426533735412i</v>
      </c>
      <c r="AU333">
        <f t="shared" si="298"/>
        <v>0.0199426533735412</v>
      </c>
      <c r="AV333">
        <f t="shared" si="299"/>
        <v>1.5707963267949</v>
      </c>
      <c r="AW333" t="str">
        <f t="shared" si="275"/>
        <v>1+1,02102727427509i</v>
      </c>
      <c r="AX333">
        <f t="shared" si="300"/>
        <v>1.42915943645684</v>
      </c>
      <c r="AY333">
        <f t="shared" si="301"/>
        <v>0.795802038629047</v>
      </c>
      <c r="AZ333" t="str">
        <f t="shared" si="276"/>
        <v>1+48,8137933041728i</v>
      </c>
      <c r="BA333">
        <f t="shared" si="302"/>
        <v>48.8240352361673</v>
      </c>
      <c r="BB333">
        <f t="shared" si="303"/>
        <v>1.55031317899397</v>
      </c>
      <c r="BC333" s="30" t="str">
        <f t="shared" si="304"/>
        <v>-0,23642034742708+0,251495406780174i</v>
      </c>
      <c r="BD333" s="32">
        <f t="shared" si="305"/>
        <v>-9.23925926916014</v>
      </c>
      <c r="BE333" s="31">
        <f t="shared" si="306"/>
        <v>133.230303938513</v>
      </c>
      <c r="BF333" s="30" t="str">
        <f t="shared" si="307"/>
        <v>0,705098101764724+0,0798756777859851i</v>
      </c>
      <c r="BG333" s="68">
        <f t="shared" si="308"/>
        <v>-2.97963042832404</v>
      </c>
      <c r="BH333" s="31">
        <f t="shared" si="309"/>
        <v>6.46308874079873</v>
      </c>
      <c r="BI333" s="30" t="str">
        <f t="shared" si="316"/>
        <v>0,467064751244717+1,81701315655923i</v>
      </c>
      <c r="BJ333" s="68">
        <f t="shared" si="310"/>
        <v>5.46503956857177</v>
      </c>
      <c r="BK333" s="31">
        <f t="shared" si="317"/>
        <v>75.5841723923766</v>
      </c>
      <c r="BL333" s="32">
        <f t="shared" si="311"/>
        <v>-2.97963042832404</v>
      </c>
      <c r="BM333" s="31">
        <f t="shared" si="312"/>
        <v>6.46308874079873</v>
      </c>
      <c r="BO333">
        <f t="shared" si="313"/>
        <v>0</v>
      </c>
      <c r="BP333">
        <f t="shared" si="314"/>
        <v>0</v>
      </c>
    </row>
    <row r="334" spans="14:68">
      <c r="N334" s="7">
        <v>16</v>
      </c>
      <c r="O334" s="18">
        <f t="shared" si="318"/>
        <v>14454.3977074593</v>
      </c>
      <c r="P334" s="86" t="str">
        <f t="shared" si="265"/>
        <v>54,5454545454545</v>
      </c>
      <c r="Q334" s="4" t="str">
        <f t="shared" si="266"/>
        <v>1+184,941851664718i</v>
      </c>
      <c r="R334" s="4">
        <f t="shared" si="277"/>
        <v>184.944555197428</v>
      </c>
      <c r="S334" s="4">
        <f t="shared" si="278"/>
        <v>1.56538927454807</v>
      </c>
      <c r="T334" s="4" t="str">
        <f t="shared" si="267"/>
        <v>1+1,42405225781833i</v>
      </c>
      <c r="U334" s="4">
        <f t="shared" si="279"/>
        <v>1.7400933403118</v>
      </c>
      <c r="V334" s="4">
        <f t="shared" si="280"/>
        <v>0.958581031257365</v>
      </c>
      <c r="W334" t="str">
        <f t="shared" si="268"/>
        <v>1-4,08688466848374i</v>
      </c>
      <c r="X334" s="4">
        <f t="shared" si="281"/>
        <v>4.20744890563004</v>
      </c>
      <c r="Y334" s="4">
        <f t="shared" si="282"/>
        <v>-1.33082609417988</v>
      </c>
      <c r="Z334" t="str">
        <f t="shared" si="269"/>
        <v>0,998294452138078+0,28218965568102i</v>
      </c>
      <c r="AA334" s="4">
        <f t="shared" si="283"/>
        <v>1.03741159379633</v>
      </c>
      <c r="AB334" s="4">
        <f t="shared" si="284"/>
        <v>0.275484508272074</v>
      </c>
      <c r="AC334" s="67" t="str">
        <f t="shared" si="285"/>
        <v>-1,24688170188535-1,66659747967414i</v>
      </c>
      <c r="AD334" s="68">
        <f t="shared" si="286"/>
        <v>6.36714626916092</v>
      </c>
      <c r="AE334" s="31">
        <f t="shared" si="287"/>
        <v>-126.802369421918</v>
      </c>
      <c r="AF334" s="32" t="str">
        <f t="shared" si="288"/>
        <v>432,040091031901</v>
      </c>
      <c r="AG334" s="32" t="str">
        <f t="shared" si="270"/>
        <v>1+150,693360615696i</v>
      </c>
      <c r="AH334" s="32">
        <f t="shared" si="289"/>
        <v>150.696678575383</v>
      </c>
      <c r="AI334" s="32">
        <f t="shared" si="290"/>
        <v>1.56416043177269</v>
      </c>
      <c r="AJ334" s="32" t="str">
        <f t="shared" si="271"/>
        <v>1+1,42405225781833i</v>
      </c>
      <c r="AK334" s="32">
        <f t="shared" si="291"/>
        <v>1.7400933403118</v>
      </c>
      <c r="AL334" s="32">
        <f t="shared" si="292"/>
        <v>0.958581031257365</v>
      </c>
      <c r="AM334" s="32" t="str">
        <f t="shared" si="272"/>
        <v>1-0,420413330170502i</v>
      </c>
      <c r="AN334" s="32">
        <f t="shared" si="293"/>
        <v>1.08477987084249</v>
      </c>
      <c r="AO334" s="32">
        <f t="shared" si="294"/>
        <v>-0.397979291393183</v>
      </c>
      <c r="AP334" s="30" t="str">
        <f t="shared" si="295"/>
        <v>2,90773545425671-4,56417371922354i</v>
      </c>
      <c r="AQ334" s="32">
        <f t="shared" si="296"/>
        <v>14.6666906253844</v>
      </c>
      <c r="AR334" s="31">
        <f t="shared" si="297"/>
        <v>-57.4996775400272</v>
      </c>
      <c r="AS334" t="str">
        <f t="shared" si="273"/>
        <v>-0,000201496259351621</v>
      </c>
      <c r="AT334" t="str">
        <f t="shared" si="274"/>
        <v>0,0204071774446288i</v>
      </c>
      <c r="AU334">
        <f t="shared" si="298"/>
        <v>0.0204071774446288</v>
      </c>
      <c r="AV334">
        <f t="shared" si="299"/>
        <v>1.5707963267949</v>
      </c>
      <c r="AW334" t="str">
        <f t="shared" si="275"/>
        <v>1+1,04481005469322i</v>
      </c>
      <c r="AX334">
        <f t="shared" si="300"/>
        <v>1.44624619286899</v>
      </c>
      <c r="AY334">
        <f t="shared" si="301"/>
        <v>0.807308699137928</v>
      </c>
      <c r="AZ334" t="str">
        <f t="shared" si="276"/>
        <v>1+49,9508126148012i</v>
      </c>
      <c r="BA334">
        <f t="shared" si="302"/>
        <v>49.9608214592092</v>
      </c>
      <c r="BB334">
        <f t="shared" si="303"/>
        <v>1.55077930637575</v>
      </c>
      <c r="BC334" s="30" t="str">
        <f t="shared" si="304"/>
        <v>-0,230866945065548+0,251085899164729i</v>
      </c>
      <c r="BD334" s="32">
        <f t="shared" si="305"/>
        <v>-9.3425722175502</v>
      </c>
      <c r="BE334" s="31">
        <f t="shared" si="306"/>
        <v>132.597727986756</v>
      </c>
      <c r="BF334" s="30" t="str">
        <f t="shared" si="307"/>
        <v>0,706322896102055+0,0716878555163797i</v>
      </c>
      <c r="BG334" s="68">
        <f t="shared" si="308"/>
        <v>-2.97542594838927</v>
      </c>
      <c r="BH334" s="31">
        <f t="shared" si="309"/>
        <v>5.79535856483733</v>
      </c>
      <c r="BI334" s="30" t="str">
        <f t="shared" si="316"/>
        <v>0,474699660852238+1,78380821437081i</v>
      </c>
      <c r="BJ334" s="68">
        <f t="shared" si="310"/>
        <v>5.32411840783418</v>
      </c>
      <c r="BK334" s="31">
        <f t="shared" si="317"/>
        <v>75.0980504467286</v>
      </c>
      <c r="BL334" s="32">
        <f t="shared" si="311"/>
        <v>-2.97542594838927</v>
      </c>
      <c r="BM334" s="31">
        <f t="shared" si="312"/>
        <v>5.79535856483733</v>
      </c>
      <c r="BO334">
        <f t="shared" si="313"/>
        <v>0</v>
      </c>
      <c r="BP334">
        <f t="shared" si="314"/>
        <v>0</v>
      </c>
    </row>
    <row r="335" spans="14:68">
      <c r="N335" s="7">
        <v>17</v>
      </c>
      <c r="O335" s="18">
        <f t="shared" si="318"/>
        <v>14791.0838816821</v>
      </c>
      <c r="P335" s="86" t="str">
        <f t="shared" si="265"/>
        <v>54,5454545454545</v>
      </c>
      <c r="Q335" s="4" t="str">
        <f t="shared" si="266"/>
        <v>1+189,249700787933i</v>
      </c>
      <c r="R335" s="4">
        <f t="shared" si="277"/>
        <v>189.252342781595</v>
      </c>
      <c r="S335" s="4">
        <f t="shared" si="278"/>
        <v>1.56551235176602</v>
      </c>
      <c r="T335" s="4" t="str">
        <f t="shared" si="267"/>
        <v>1+1,45722269606709i</v>
      </c>
      <c r="U335" s="4">
        <f t="shared" si="279"/>
        <v>1.76734206817272</v>
      </c>
      <c r="V335" s="4">
        <f t="shared" si="280"/>
        <v>0.969367181628116</v>
      </c>
      <c r="W335" t="str">
        <f t="shared" si="268"/>
        <v>1-4,18208044151906i</v>
      </c>
      <c r="X335" s="4">
        <f t="shared" si="281"/>
        <v>4.29997637427652</v>
      </c>
      <c r="Y335" s="4">
        <f t="shared" si="282"/>
        <v>-1.33608789917399</v>
      </c>
      <c r="Z335" t="str">
        <f t="shared" si="269"/>
        <v>0,998214072143715+0,288762697152507i</v>
      </c>
      <c r="AA335" s="4">
        <f t="shared" si="283"/>
        <v>1.03914158279444</v>
      </c>
      <c r="AB335" s="4">
        <f t="shared" si="284"/>
        <v>0.281592529731751</v>
      </c>
      <c r="AC335" s="67" t="str">
        <f t="shared" si="285"/>
        <v>-1,26388382528222-1,68683599489881i</v>
      </c>
      <c r="AD335" s="68">
        <f t="shared" si="286"/>
        <v>6.47658522490915</v>
      </c>
      <c r="AE335" s="31">
        <f t="shared" si="287"/>
        <v>-126.842863403222</v>
      </c>
      <c r="AF335" s="32" t="str">
        <f t="shared" si="288"/>
        <v>432,040091031901</v>
      </c>
      <c r="AG335" s="32" t="str">
        <f t="shared" si="270"/>
        <v>1+154,203459901279i</v>
      </c>
      <c r="AH335" s="32">
        <f t="shared" si="289"/>
        <v>154.206702336589</v>
      </c>
      <c r="AI335" s="32">
        <f t="shared" si="290"/>
        <v>1.56431147890076</v>
      </c>
      <c r="AJ335" s="32" t="str">
        <f t="shared" si="271"/>
        <v>1+1,45722269606709i</v>
      </c>
      <c r="AK335" s="32">
        <f t="shared" si="291"/>
        <v>1.76734206817272</v>
      </c>
      <c r="AL335" s="32">
        <f t="shared" si="292"/>
        <v>0.969367181628116</v>
      </c>
      <c r="AM335" s="32" t="str">
        <f t="shared" si="272"/>
        <v>1-0,43020601462489i</v>
      </c>
      <c r="AN335" s="32">
        <f t="shared" si="293"/>
        <v>1.08861251830917</v>
      </c>
      <c r="AO335" s="32">
        <f t="shared" si="294"/>
        <v>-0.406271911994519</v>
      </c>
      <c r="AP335" s="30" t="str">
        <f t="shared" si="295"/>
        <v>2,90688496502229-4,53933859987606i</v>
      </c>
      <c r="AQ335" s="32">
        <f t="shared" si="296"/>
        <v>14.632294762571</v>
      </c>
      <c r="AR335" s="31">
        <f t="shared" si="297"/>
        <v>-57.3654631710952</v>
      </c>
      <c r="AS335" t="str">
        <f t="shared" si="273"/>
        <v>-0,000201496259351621</v>
      </c>
      <c r="AT335" t="str">
        <f t="shared" si="274"/>
        <v>0,0208825216713185i</v>
      </c>
      <c r="AU335">
        <f t="shared" si="298"/>
        <v>0.0208825216713185</v>
      </c>
      <c r="AV335">
        <f t="shared" si="299"/>
        <v>1.5707963267949</v>
      </c>
      <c r="AW335" t="str">
        <f t="shared" si="275"/>
        <v>1+1,06914680723204i</v>
      </c>
      <c r="AX335">
        <f t="shared" si="300"/>
        <v>1.4639244841912</v>
      </c>
      <c r="AY335">
        <f t="shared" si="301"/>
        <v>0.818803760326488</v>
      </c>
      <c r="AZ335" t="str">
        <f t="shared" si="276"/>
        <v>1+51,1143165074551i</v>
      </c>
      <c r="BA335">
        <f t="shared" si="302"/>
        <v>51.1240975668451</v>
      </c>
      <c r="BB335">
        <f t="shared" si="303"/>
        <v>1.55123483180934</v>
      </c>
      <c r="BC335" s="30" t="str">
        <f t="shared" si="304"/>
        <v>-0,225324732812527+0,250554257357362i</v>
      </c>
      <c r="BD335" s="32">
        <f t="shared" si="305"/>
        <v>-9.44817944127161</v>
      </c>
      <c r="BE335" s="31">
        <f t="shared" si="306"/>
        <v>131.965209180212</v>
      </c>
      <c r="BF335" s="30" t="str">
        <f t="shared" si="307"/>
        <v>0,707428225223329+0,0634143966195591i</v>
      </c>
      <c r="BG335" s="68">
        <f t="shared" si="308"/>
        <v>-2.97159421636245</v>
      </c>
      <c r="BH335" s="31">
        <f t="shared" si="309"/>
        <v>5.12234577698996</v>
      </c>
      <c r="BI335" s="30" t="str">
        <f t="shared" si="316"/>
        <v>0,482357533725154+1,7511576607971i</v>
      </c>
      <c r="BJ335" s="68">
        <f t="shared" si="310"/>
        <v>5.18411532129933</v>
      </c>
      <c r="BK335" s="31">
        <f t="shared" si="317"/>
        <v>74.5997460091171</v>
      </c>
      <c r="BL335" s="32">
        <f t="shared" si="311"/>
        <v>-2.97159421636245</v>
      </c>
      <c r="BM335" s="31">
        <f t="shared" si="312"/>
        <v>5.12234577698996</v>
      </c>
      <c r="BO335">
        <f t="shared" si="313"/>
        <v>0</v>
      </c>
      <c r="BP335">
        <f t="shared" si="314"/>
        <v>0</v>
      </c>
    </row>
    <row r="336" spans="14:68">
      <c r="N336" s="7">
        <v>18</v>
      </c>
      <c r="O336" s="18">
        <f t="shared" si="318"/>
        <v>15135.6124843621</v>
      </c>
      <c r="P336" s="86" t="str">
        <f t="shared" si="265"/>
        <v>54,5454545454545</v>
      </c>
      <c r="Q336" s="4" t="str">
        <f t="shared" si="266"/>
        <v>1+193,657892607521i</v>
      </c>
      <c r="R336" s="4">
        <f t="shared" si="277"/>
        <v>193.660474462876</v>
      </c>
      <c r="S336" s="4">
        <f t="shared" si="278"/>
        <v>1.56563262755915</v>
      </c>
      <c r="T336" s="4" t="str">
        <f t="shared" si="267"/>
        <v>1+1,49116577307792i</v>
      </c>
      <c r="U336" s="4">
        <f t="shared" si="279"/>
        <v>1.79543180399565</v>
      </c>
      <c r="V336" s="4">
        <f t="shared" si="280"/>
        <v>0.980064377871847</v>
      </c>
      <c r="W336" t="str">
        <f t="shared" si="268"/>
        <v>1-4,27949360896086i</v>
      </c>
      <c r="X336" s="4">
        <f t="shared" si="281"/>
        <v>4.39477707615948</v>
      </c>
      <c r="Y336" s="4">
        <f t="shared" si="282"/>
        <v>-1.34124275672328</v>
      </c>
      <c r="Z336" t="str">
        <f t="shared" si="269"/>
        <v>0,998129903956924+0,29548884442825i</v>
      </c>
      <c r="AA336" s="4">
        <f t="shared" si="283"/>
        <v>1.04095002874999</v>
      </c>
      <c r="AB336" s="4">
        <f t="shared" si="284"/>
        <v>0.287822092075419</v>
      </c>
      <c r="AC336" s="67" t="str">
        <f t="shared" si="285"/>
        <v>-1,28156018891383-1,70755253025954i</v>
      </c>
      <c r="AD336" s="68">
        <f t="shared" si="286"/>
        <v>6.58786913239405</v>
      </c>
      <c r="AE336" s="31">
        <f t="shared" si="287"/>
        <v>-126.889129713228</v>
      </c>
      <c r="AF336" s="32" t="str">
        <f t="shared" si="288"/>
        <v>432,040091031901</v>
      </c>
      <c r="AG336" s="32" t="str">
        <f t="shared" si="270"/>
        <v>1+157,795319902425i</v>
      </c>
      <c r="AH336" s="32">
        <f t="shared" si="289"/>
        <v>157.798488532396</v>
      </c>
      <c r="AI336" s="32">
        <f t="shared" si="290"/>
        <v>1.56445908806236</v>
      </c>
      <c r="AJ336" s="32" t="str">
        <f t="shared" si="271"/>
        <v>1+1,49116577307792i</v>
      </c>
      <c r="AK336" s="32">
        <f t="shared" si="291"/>
        <v>1.79543180399565</v>
      </c>
      <c r="AL336" s="32">
        <f t="shared" si="292"/>
        <v>0.980064377871847</v>
      </c>
      <c r="AM336" s="32" t="str">
        <f t="shared" si="272"/>
        <v>1-0,440226800002681i</v>
      </c>
      <c r="AN336" s="32">
        <f t="shared" si="293"/>
        <v>1.09261138353973</v>
      </c>
      <c r="AO336" s="32">
        <f t="shared" si="294"/>
        <v>-0.414696872104658</v>
      </c>
      <c r="AP336" s="30" t="str">
        <f t="shared" si="295"/>
        <v>2,90607275096195-4,51690980136267i</v>
      </c>
      <c r="AQ336" s="32">
        <f t="shared" si="296"/>
        <v>14.6011168959952</v>
      </c>
      <c r="AR336" s="31">
        <f t="shared" si="297"/>
        <v>-57.2437310125604</v>
      </c>
      <c r="AS336" t="str">
        <f t="shared" si="273"/>
        <v>-0,000201496259351621</v>
      </c>
      <c r="AT336" t="str">
        <f t="shared" si="274"/>
        <v>0,0213689380874112i</v>
      </c>
      <c r="AU336">
        <f t="shared" si="298"/>
        <v>0.0213689380874112</v>
      </c>
      <c r="AV336">
        <f t="shared" si="299"/>
        <v>1.5707963267949</v>
      </c>
      <c r="AW336" t="str">
        <f t="shared" si="275"/>
        <v>1+1,09405043555989i</v>
      </c>
      <c r="AX336">
        <f t="shared" si="300"/>
        <v>1.48220995663529</v>
      </c>
      <c r="AY336">
        <f t="shared" si="301"/>
        <v>0.830281166745942</v>
      </c>
      <c r="AZ336" t="str">
        <f t="shared" si="276"/>
        <v>1+52,3049218872993i</v>
      </c>
      <c r="BA336">
        <f t="shared" si="302"/>
        <v>52.3144803437488</v>
      </c>
      <c r="BB336">
        <f t="shared" si="303"/>
        <v>1.55167999606373</v>
      </c>
      <c r="BC336" s="30" t="str">
        <f t="shared" si="304"/>
        <v>-0,21979953082918+0,249901172184489i</v>
      </c>
      <c r="BD336" s="32">
        <f t="shared" si="305"/>
        <v>-9.5560752642346</v>
      </c>
      <c r="BE336" s="31">
        <f t="shared" si="306"/>
        <v>131.333108265588</v>
      </c>
      <c r="BF336" s="30" t="str">
        <f t="shared" si="307"/>
        <v>0,708405707131064+0,0550558515826848i</v>
      </c>
      <c r="BG336" s="68">
        <f t="shared" si="308"/>
        <v>-2.96820613184056</v>
      </c>
      <c r="BH336" s="31">
        <f t="shared" si="309"/>
        <v>4.44397855235977</v>
      </c>
      <c r="BI336" s="30" t="str">
        <f t="shared" si="316"/>
        <v>0,490027626795238+1,71904564205603i</v>
      </c>
      <c r="BJ336" s="68">
        <f t="shared" si="310"/>
        <v>5.04504163176055</v>
      </c>
      <c r="BK336" s="31">
        <f t="shared" si="317"/>
        <v>74.0893772530273</v>
      </c>
      <c r="BL336" s="32">
        <f t="shared" si="311"/>
        <v>-2.96820613184056</v>
      </c>
      <c r="BM336" s="31">
        <f t="shared" si="312"/>
        <v>4.44397855235977</v>
      </c>
      <c r="BO336">
        <f t="shared" si="313"/>
        <v>0</v>
      </c>
      <c r="BP336">
        <f t="shared" si="314"/>
        <v>0</v>
      </c>
    </row>
    <row r="337" spans="14:68">
      <c r="N337" s="7">
        <v>19</v>
      </c>
      <c r="O337" s="18">
        <f t="shared" si="318"/>
        <v>15488.1661891249</v>
      </c>
      <c r="P337" s="86" t="str">
        <f t="shared" si="265"/>
        <v>54,5454545454545</v>
      </c>
      <c r="Q337" s="4" t="str">
        <f t="shared" si="266"/>
        <v>1+198,168764405136i</v>
      </c>
      <c r="R337" s="4">
        <f t="shared" si="277"/>
        <v>198.171287491045</v>
      </c>
      <c r="S337" s="4">
        <f t="shared" si="278"/>
        <v>1.56575016568533</v>
      </c>
      <c r="T337" s="4" t="str">
        <f t="shared" si="267"/>
        <v>1+1,52589948591955i</v>
      </c>
      <c r="U337" s="4">
        <f t="shared" si="279"/>
        <v>1.82438187919348</v>
      </c>
      <c r="V337" s="4">
        <f t="shared" si="280"/>
        <v>0.990668499120135</v>
      </c>
      <c r="W337" t="str">
        <f t="shared" si="268"/>
        <v>1-4,37917582055994i</v>
      </c>
      <c r="X337" s="4">
        <f t="shared" si="281"/>
        <v>4.49190169832075</v>
      </c>
      <c r="Y337" s="4">
        <f t="shared" si="282"/>
        <v>-1.34629230369565</v>
      </c>
      <c r="Z337" t="str">
        <f t="shared" si="269"/>
        <v>0,998041769045698+0,302371663800567i</v>
      </c>
      <c r="AA337" s="4">
        <f t="shared" si="283"/>
        <v>1.04284035011568</v>
      </c>
      <c r="AB337" s="4">
        <f t="shared" si="284"/>
        <v>0.29417469750232</v>
      </c>
      <c r="AC337" s="67" t="str">
        <f t="shared" si="285"/>
        <v>-1,29993263131551-1,72873292685312i</v>
      </c>
      <c r="AD337" s="68">
        <f t="shared" si="286"/>
        <v>6.70092001907696</v>
      </c>
      <c r="AE337" s="31">
        <f t="shared" si="287"/>
        <v>-126.941587968662</v>
      </c>
      <c r="AF337" s="32" t="str">
        <f t="shared" si="288"/>
        <v>432,040091031901</v>
      </c>
      <c r="AG337" s="32" t="str">
        <f t="shared" si="270"/>
        <v>1+161,470845070852i</v>
      </c>
      <c r="AH337" s="32">
        <f t="shared" si="289"/>
        <v>161.473941575398</v>
      </c>
      <c r="AI337" s="32">
        <f t="shared" si="290"/>
        <v>1.56460333749608</v>
      </c>
      <c r="AJ337" s="32" t="str">
        <f t="shared" si="271"/>
        <v>1+1,52589948591955i</v>
      </c>
      <c r="AK337" s="32">
        <f t="shared" si="291"/>
        <v>1.82438187919348</v>
      </c>
      <c r="AL337" s="32">
        <f t="shared" si="292"/>
        <v>0.990668499120135</v>
      </c>
      <c r="AM337" s="32" t="str">
        <f t="shared" si="272"/>
        <v>1-0,450480999456926i</v>
      </c>
      <c r="AN337" s="32">
        <f t="shared" si="293"/>
        <v>1.09678308287086</v>
      </c>
      <c r="AO337" s="32">
        <f t="shared" si="294"/>
        <v>-0.423253853673118</v>
      </c>
      <c r="AP337" s="30" t="str">
        <f t="shared" si="295"/>
        <v>2,90529708968597-4,49687546477926i</v>
      </c>
      <c r="AQ337" s="32">
        <f t="shared" si="296"/>
        <v>14.5731619090927</v>
      </c>
      <c r="AR337" s="31">
        <f t="shared" si="297"/>
        <v>-57.1347034325819</v>
      </c>
      <c r="AS337" t="str">
        <f t="shared" si="273"/>
        <v>-0,000201496259351621</v>
      </c>
      <c r="AT337" t="str">
        <f t="shared" si="274"/>
        <v>0,0218666845973293i</v>
      </c>
      <c r="AU337">
        <f t="shared" si="298"/>
        <v>0.0218666845973293</v>
      </c>
      <c r="AV337">
        <f t="shared" si="299"/>
        <v>1.5707963267949</v>
      </c>
      <c r="AW337" t="str">
        <f t="shared" si="275"/>
        <v>1+1,11953414391015i</v>
      </c>
      <c r="AX337">
        <f t="shared" si="300"/>
        <v>1.50111848279229</v>
      </c>
      <c r="AY337">
        <f t="shared" si="301"/>
        <v>0.841734909459544</v>
      </c>
      <c r="AZ337" t="str">
        <f t="shared" si="276"/>
        <v>1+53,5232600290658i</v>
      </c>
      <c r="BA337">
        <f t="shared" si="302"/>
        <v>53.5326009468902</v>
      </c>
      <c r="BB337">
        <f t="shared" si="303"/>
        <v>1.55211503446475</v>
      </c>
      <c r="BC337" s="30" t="str">
        <f t="shared" si="304"/>
        <v>-0,214297087691099+0,249127667012744i</v>
      </c>
      <c r="BD337" s="32">
        <f t="shared" si="305"/>
        <v>-9.66625160632384</v>
      </c>
      <c r="BE337" s="31">
        <f t="shared" si="306"/>
        <v>130.701783012774</v>
      </c>
      <c r="BF337" s="30" t="str">
        <f t="shared" si="307"/>
        <v>0,709246978040571+0,0466132479069629i</v>
      </c>
      <c r="BG337" s="68">
        <f t="shared" si="308"/>
        <v>-2.96533158724688</v>
      </c>
      <c r="BH337" s="31">
        <f t="shared" si="309"/>
        <v>3.76019504411225</v>
      </c>
      <c r="BI337" s="30" t="str">
        <f t="shared" si="316"/>
        <v>0,497699388190177+1,68745720174413i</v>
      </c>
      <c r="BJ337" s="68">
        <f t="shared" si="310"/>
        <v>4.90691030276881</v>
      </c>
      <c r="BK337" s="31">
        <f t="shared" si="317"/>
        <v>73.567079580192</v>
      </c>
      <c r="BL337" s="32">
        <f t="shared" si="311"/>
        <v>-2.96533158724688</v>
      </c>
      <c r="BM337" s="31">
        <f t="shared" si="312"/>
        <v>3.76019504411225</v>
      </c>
      <c r="BO337">
        <f t="shared" si="313"/>
        <v>0</v>
      </c>
      <c r="BP337">
        <f t="shared" si="314"/>
        <v>0</v>
      </c>
    </row>
    <row r="338" spans="14:68">
      <c r="N338" s="7">
        <v>20</v>
      </c>
      <c r="O338" s="18">
        <f t="shared" si="318"/>
        <v>15848.9319246111</v>
      </c>
      <c r="P338" s="86" t="str">
        <f t="shared" si="265"/>
        <v>54,5454545454545</v>
      </c>
      <c r="Q338" s="4" t="str">
        <f t="shared" si="266"/>
        <v>1+202,78470790471i</v>
      </c>
      <c r="R338" s="4">
        <f t="shared" si="277"/>
        <v>202.787173558878</v>
      </c>
      <c r="S338" s="4">
        <f t="shared" si="278"/>
        <v>1.56586502845185</v>
      </c>
      <c r="T338" s="4" t="str">
        <f t="shared" si="267"/>
        <v>1+1,56144225086627i</v>
      </c>
      <c r="U338" s="4">
        <f t="shared" si="279"/>
        <v>1.85421193578035</v>
      </c>
      <c r="V338" s="4">
        <f t="shared" si="280"/>
        <v>1.00117562845711</v>
      </c>
      <c r="W338" t="str">
        <f t="shared" si="268"/>
        <v>1-4,48117992914427i</v>
      </c>
      <c r="X338" s="4">
        <f t="shared" si="281"/>
        <v>4.59140213413783</v>
      </c>
      <c r="Y338" s="4">
        <f t="shared" si="282"/>
        <v>-1.35123818694368</v>
      </c>
      <c r="Z338" t="str">
        <f t="shared" si="269"/>
        <v>0,997949480464074+0,30941480463139i</v>
      </c>
      <c r="AA338" s="4">
        <f t="shared" si="283"/>
        <v>1.04481610194502</v>
      </c>
      <c r="AB338" s="4">
        <f t="shared" si="284"/>
        <v>0.300651805119266</v>
      </c>
      <c r="AC338" s="67" t="str">
        <f t="shared" si="285"/>
        <v>-1,31902319941018-1,75036196480871i</v>
      </c>
      <c r="AD338" s="68">
        <f t="shared" si="286"/>
        <v>6.81565860483646</v>
      </c>
      <c r="AE338" s="31">
        <f t="shared" si="287"/>
        <v>-127.000644120579</v>
      </c>
      <c r="AF338" s="32" t="str">
        <f t="shared" si="288"/>
        <v>432,040091031901</v>
      </c>
      <c r="AG338" s="32" t="str">
        <f t="shared" si="270"/>
        <v>1+165,231984218653i</v>
      </c>
      <c r="AH338" s="32">
        <f t="shared" si="289"/>
        <v>165.235010239456</v>
      </c>
      <c r="AI338" s="32">
        <f t="shared" si="290"/>
        <v>1.56474430366085</v>
      </c>
      <c r="AJ338" s="32" t="str">
        <f t="shared" si="271"/>
        <v>1+1,56144225086627i</v>
      </c>
      <c r="AK338" s="32">
        <f t="shared" si="291"/>
        <v>1.85421193578035</v>
      </c>
      <c r="AL338" s="32">
        <f t="shared" si="292"/>
        <v>1.00117562845711</v>
      </c>
      <c r="AM338" s="32" t="str">
        <f t="shared" si="272"/>
        <v>1-0,4609740498999i</v>
      </c>
      <c r="AN338" s="32">
        <f t="shared" si="293"/>
        <v>1.10113444895758</v>
      </c>
      <c r="AO338" s="32">
        <f t="shared" si="294"/>
        <v>-0.43194238021129</v>
      </c>
      <c r="AP338" s="30" t="str">
        <f t="shared" si="295"/>
        <v>2,90455633630059-4,47922499858535i</v>
      </c>
      <c r="AQ338" s="32">
        <f t="shared" si="296"/>
        <v>14.5484339862334</v>
      </c>
      <c r="AR338" s="31">
        <f t="shared" si="297"/>
        <v>-57.0385819338955</v>
      </c>
      <c r="AS338" t="str">
        <f t="shared" si="273"/>
        <v>-0,000201496259351621</v>
      </c>
      <c r="AT338" t="str">
        <f t="shared" si="274"/>
        <v>0,0223760251128604i</v>
      </c>
      <c r="AU338">
        <f t="shared" si="298"/>
        <v>0.0223760251128604</v>
      </c>
      <c r="AV338">
        <f t="shared" si="299"/>
        <v>1.5707963267949</v>
      </c>
      <c r="AW338" t="str">
        <f t="shared" si="275"/>
        <v>1+1,14561144408228i</v>
      </c>
      <c r="AX338">
        <f t="shared" si="300"/>
        <v>1.5206661634995</v>
      </c>
      <c r="AY338">
        <f t="shared" si="301"/>
        <v>0.853159041604466</v>
      </c>
      <c r="AZ338" t="str">
        <f t="shared" si="276"/>
        <v>1+54,7699769117632i</v>
      </c>
      <c r="BA338">
        <f t="shared" si="302"/>
        <v>54.7791052401833</v>
      </c>
      <c r="BB338">
        <f t="shared" si="303"/>
        <v>1.55254017701645</v>
      </c>
      <c r="BC338" s="30" t="str">
        <f t="shared" si="304"/>
        <v>-0,208823056712974+0,2482350904057i</v>
      </c>
      <c r="BD338" s="32">
        <f t="shared" si="305"/>
        <v>-9.77869801830993</v>
      </c>
      <c r="BE338" s="31">
        <f t="shared" si="306"/>
        <v>130.071587330174</v>
      </c>
      <c r="BF338" s="30" t="str">
        <f t="shared" si="307"/>
        <v>0,709943716953149+0,0380880926926802i</v>
      </c>
      <c r="BG338" s="68">
        <f t="shared" si="308"/>
        <v>-2.96303941347348</v>
      </c>
      <c r="BH338" s="31">
        <f t="shared" si="309"/>
        <v>3.0709432095952</v>
      </c>
      <c r="BI338" s="30" t="str">
        <f t="shared" si="316"/>
        <v>0,50536248992998+1,65637826063978i</v>
      </c>
      <c r="BJ338" s="68">
        <f t="shared" si="310"/>
        <v>4.76973596792347</v>
      </c>
      <c r="BK338" s="31">
        <f t="shared" si="317"/>
        <v>73.0330053962788</v>
      </c>
      <c r="BL338" s="32">
        <f t="shared" si="311"/>
        <v>-2.96303941347348</v>
      </c>
      <c r="BM338" s="31">
        <f t="shared" si="312"/>
        <v>3.0709432095952</v>
      </c>
      <c r="BO338">
        <f t="shared" si="313"/>
        <v>0</v>
      </c>
      <c r="BP338">
        <f t="shared" si="314"/>
        <v>0</v>
      </c>
    </row>
    <row r="339" spans="14:68">
      <c r="N339" s="7">
        <v>21</v>
      </c>
      <c r="O339" s="18">
        <f t="shared" si="318"/>
        <v>16218.1009735893</v>
      </c>
      <c r="P339" s="86" t="str">
        <f t="shared" ref="P339:P402" si="319">COMPLEX(Adc,0)</f>
        <v>54,5454545454545</v>
      </c>
      <c r="Q339" s="4" t="str">
        <f t="shared" ref="Q339:Q402" si="320">IMSUM(COMPLEX(1,0),IMDIV(COMPLEX(0,2*PI()*O339),COMPLEX(wp_lf,0)))</f>
        <v>1+207,508170540589i</v>
      </c>
      <c r="R339" s="4">
        <f t="shared" si="277"/>
        <v>207.510580070275</v>
      </c>
      <c r="S339" s="4">
        <f t="shared" si="278"/>
        <v>1.56597727674833</v>
      </c>
      <c r="T339" s="4" t="str">
        <f t="shared" ref="T339:T402" si="321">IMSUM(COMPLEX(1,0),IMDIV(COMPLEX(0,2*PI()*O339),COMPLEX(wz_esr,0)))</f>
        <v>1+1,59781291316254i</v>
      </c>
      <c r="U339" s="4">
        <f t="shared" si="279"/>
        <v>1.88494193689593</v>
      </c>
      <c r="V339" s="4">
        <f t="shared" si="280"/>
        <v>1.0115820568175</v>
      </c>
      <c r="W339" t="str">
        <f t="shared" ref="W339:W402" si="322">IMSUB(COMPLEX(1,0),IMDIV(COMPLEX(0,2*PI()*O339),COMPLEX(wz_rhp,0)))</f>
        <v>1-4,5855600186425i</v>
      </c>
      <c r="X339" s="4">
        <f t="shared" si="281"/>
        <v>4.69333151232391</v>
      </c>
      <c r="Y339" s="4">
        <f t="shared" si="282"/>
        <v>-1.35608206052245</v>
      </c>
      <c r="Z339" t="str">
        <f t="shared" ref="Z339:Z402" si="323">IMSUM(COMPLEX(1,0),IMDIV(COMPLEX(0,2*PI()*O339),COMPLEX(Q*(wsl/2),0)),IMDIV(IMPOWER(COMPLEX(0,2*PI()*O339),2),IMPOWER(COMPLEX(wsl/2,0),2)))</f>
        <v>0,997852842455596+0,31662200128722i</v>
      </c>
      <c r="AA339" s="4">
        <f t="shared" si="283"/>
        <v>1.04688098029138</v>
      </c>
      <c r="AB339" s="4">
        <f t="shared" si="284"/>
        <v>0.307254826131934</v>
      </c>
      <c r="AC339" s="67" t="str">
        <f t="shared" si="285"/>
        <v>-1,3388541038213-1,772423310482i</v>
      </c>
      <c r="AD339" s="68">
        <f t="shared" si="286"/>
        <v>6.93200439308777</v>
      </c>
      <c r="AE339" s="31">
        <f t="shared" si="287"/>
        <v>-127.06668979799</v>
      </c>
      <c r="AF339" s="32" t="str">
        <f t="shared" si="288"/>
        <v>432,040091031901</v>
      </c>
      <c r="AG339" s="32" t="str">
        <f t="shared" ref="AG339:AG402" si="324">IMSUM(COMPLEX(1,0),IMDIV(COMPLEX(0,2*PI()*O339),COMPLEX(wp_lf_DCM,0)))</f>
        <v>1+169,080731551591i</v>
      </c>
      <c r="AH339" s="32">
        <f t="shared" si="289"/>
        <v>169.08368869297</v>
      </c>
      <c r="AI339" s="32">
        <f t="shared" si="290"/>
        <v>1.56488206127638</v>
      </c>
      <c r="AJ339" s="32" t="str">
        <f t="shared" ref="AJ339:AJ402" si="325">IMSUM(COMPLEX(1,0),IMDIV(COMPLEX(0,2*PI()*O339),COMPLEX(wz1_dcm,0)))</f>
        <v>1+1,59781291316254i</v>
      </c>
      <c r="AK339" s="32">
        <f t="shared" si="291"/>
        <v>1.88494193689593</v>
      </c>
      <c r="AL339" s="32">
        <f t="shared" si="292"/>
        <v>1.0115820568175</v>
      </c>
      <c r="AM339" s="32" t="str">
        <f t="shared" ref="AM339:AM402" si="326">IMSUB(COMPLEX(1,0),IMDIV(COMPLEX(0,2*PI()*O339),COMPLEX(wz2_dcm,0)))</f>
        <v>1-0,471711514885846i</v>
      </c>
      <c r="AN339" s="32">
        <f t="shared" si="293"/>
        <v>1.10567253437711</v>
      </c>
      <c r="AO339" s="32">
        <f t="shared" si="294"/>
        <v>-0.440761810248751</v>
      </c>
      <c r="AP339" s="30" t="str">
        <f t="shared" si="295"/>
        <v>2,90384891992224-4,46394907313588i</v>
      </c>
      <c r="AQ339" s="32">
        <f t="shared" si="296"/>
        <v>14.5269366727549</v>
      </c>
      <c r="AR339" s="31">
        <f t="shared" si="297"/>
        <v>-56.9555465578633</v>
      </c>
      <c r="AS339" t="str">
        <f t="shared" ref="AS339:AS402" si="327">COMPLEX(Adc_ea,0)</f>
        <v>-0,000201496259351621</v>
      </c>
      <c r="AT339" t="str">
        <f t="shared" ref="AT339:AT402" si="328">COMPLEX(0,2*PI()*O339*wp0_ea)</f>
        <v>0,0228972296930882i</v>
      </c>
      <c r="AU339">
        <f t="shared" si="298"/>
        <v>0.0228972296930882</v>
      </c>
      <c r="AV339">
        <f t="shared" si="299"/>
        <v>1.5707963267949</v>
      </c>
      <c r="AW339" t="str">
        <f t="shared" ref="AW339:AW402" si="329">IMSUM(COMPLEX(1,0),IMDIV(COMPLEX(0,2*PI()*O339),COMPLEX(wp1_ea,0)))</f>
        <v>1+1,17229616260603i</v>
      </c>
      <c r="AX339">
        <f t="shared" si="300"/>
        <v>1.54086933023564</v>
      </c>
      <c r="AY339">
        <f t="shared" si="301"/>
        <v>0.864547693558601</v>
      </c>
      <c r="AZ339" t="str">
        <f t="shared" ref="AZ339:AZ402" si="330">IMSUM(COMPLEX(1,0),IMDIV(COMPLEX(0,2*PI()*O339),COMPLEX(wz_ea,0)))</f>
        <v>1+56,045733561186i</v>
      </c>
      <c r="BA339">
        <f t="shared" si="302"/>
        <v>56.0546541369354</v>
      </c>
      <c r="BB339">
        <f t="shared" si="303"/>
        <v>1.55295564851996</v>
      </c>
      <c r="BC339" s="30" t="str">
        <f t="shared" si="304"/>
        <v>-0,203382973115868+0,247225106789059i</v>
      </c>
      <c r="BD339" s="32">
        <f t="shared" si="305"/>
        <v>-9.89340172638531</v>
      </c>
      <c r="BE339" s="31">
        <f t="shared" si="306"/>
        <v>129.442870402518</v>
      </c>
      <c r="BF339" s="30" t="str">
        <f t="shared" si="307"/>
        <v>0,710487670412887+0,0294823737135075i</v>
      </c>
      <c r="BG339" s="68">
        <f t="shared" si="308"/>
        <v>-2.96139733329754</v>
      </c>
      <c r="BH339" s="31">
        <f t="shared" si="309"/>
        <v>2.37618060452802</v>
      </c>
      <c r="BI339" s="30" t="str">
        <f t="shared" si="316"/>
        <v>0,513006859493852+1,62579559365927i</v>
      </c>
      <c r="BJ339" s="68">
        <f t="shared" si="310"/>
        <v>4.63353494636955</v>
      </c>
      <c r="BK339" s="31">
        <f t="shared" si="317"/>
        <v>72.4873238446546</v>
      </c>
      <c r="BL339" s="32">
        <f t="shared" si="311"/>
        <v>-2.96139733329754</v>
      </c>
      <c r="BM339" s="31">
        <f t="shared" si="312"/>
        <v>2.37618060452802</v>
      </c>
      <c r="BO339">
        <f t="shared" si="313"/>
        <v>0</v>
      </c>
      <c r="BP339">
        <f t="shared" si="314"/>
        <v>0</v>
      </c>
    </row>
    <row r="340" spans="14:68">
      <c r="N340" s="7">
        <v>22</v>
      </c>
      <c r="O340" s="18">
        <f t="shared" si="318"/>
        <v>16595.8690743756</v>
      </c>
      <c r="P340" s="86" t="str">
        <f t="shared" si="319"/>
        <v>54,5454545454545</v>
      </c>
      <c r="Q340" s="4" t="str">
        <f t="shared" si="320"/>
        <v>1+212,341656755186i</v>
      </c>
      <c r="R340" s="4">
        <f t="shared" ref="R340:R403" si="331">IMABS(Q340)</f>
        <v>212.344011437896</v>
      </c>
      <c r="S340" s="4">
        <f t="shared" ref="S340:S403" si="332">IMARGUMENT(Q340)</f>
        <v>1.56608697007898</v>
      </c>
      <c r="T340" s="4" t="str">
        <f t="shared" si="321"/>
        <v>1+1,63503075701493i</v>
      </c>
      <c r="U340" s="4">
        <f t="shared" ref="U340:U403" si="333">IMABS(T340)</f>
        <v>1.91659217789931</v>
      </c>
      <c r="V340" s="4">
        <f t="shared" ref="V340:V403" si="334">IMARGUMENT(T340)</f>
        <v>1.02188428592174</v>
      </c>
      <c r="W340" t="str">
        <f t="shared" si="322"/>
        <v>1-4,69237143275969i</v>
      </c>
      <c r="X340" s="4">
        <f t="shared" ref="X340:X403" si="335">IMABS(W340)</f>
        <v>4.79774422650679</v>
      </c>
      <c r="Y340" s="4">
        <f t="shared" ref="Y340:Y403" si="336">IMARGUMENT(W340)</f>
        <v>-1.36082558308348</v>
      </c>
      <c r="Z340" t="str">
        <f t="shared" si="323"/>
        <v>0,997751650038091+0,323997075119121i</v>
      </c>
      <c r="AA340" s="4">
        <f t="shared" ref="AA340:AA403" si="337">IMABS(Z340)</f>
        <v>1.04903882665966</v>
      </c>
      <c r="AB340" s="4">
        <f t="shared" ref="AB340:AB403" si="338">IMARGUMENT(Z340)</f>
        <v>0.313985118824947</v>
      </c>
      <c r="AC340" s="67" t="str">
        <f t="shared" ref="AC340:AC403" si="339">(IMDIV(IMPRODUCT(P340,T340,W340),IMPRODUCT(Q340,Z340)))</f>
        <v>-1,35944766940644-1,79489946414471i</v>
      </c>
      <c r="AD340" s="68">
        <f t="shared" ref="AD340:AD403" si="340">20*LOG(IMABS(AC340))</f>
        <v>7.04987576330667</v>
      </c>
      <c r="AE340" s="31">
        <f t="shared" ref="AE340:AE403" si="341">(180/PI())*IMARGUMENT(AC340)</f>
        <v>-127.140101704597</v>
      </c>
      <c r="AF340" s="32" t="str">
        <f t="shared" ref="AF340:AF403" si="342">COMPLEX($B$68,0)</f>
        <v>432,040091031901</v>
      </c>
      <c r="AG340" s="32" t="str">
        <f t="shared" si="324"/>
        <v>1+173,019127726447i</v>
      </c>
      <c r="AH340" s="32">
        <f t="shared" ref="AH340:AH403" si="343">IMABS(AG340)</f>
        <v>173.022017556208</v>
      </c>
      <c r="AI340" s="32">
        <f t="shared" ref="AI340:AI403" si="344">IMARGUMENT(AG340)</f>
        <v>1.56501668336266</v>
      </c>
      <c r="AJ340" s="32" t="str">
        <f t="shared" si="325"/>
        <v>1+1,63503075701493i</v>
      </c>
      <c r="AK340" s="32">
        <f t="shared" ref="AK340:AK403" si="345">IMABS(AJ340)</f>
        <v>1.91659217789931</v>
      </c>
      <c r="AL340" s="32">
        <f t="shared" ref="AL340:AL403" si="346">IMARGUMENT(AJ340)</f>
        <v>1.02188428592174</v>
      </c>
      <c r="AM340" s="32" t="str">
        <f t="shared" si="326"/>
        <v>1-0,482699087560826i</v>
      </c>
      <c r="AN340" s="32">
        <f t="shared" ref="AN340:AN403" si="347">IMABS(AM340)</f>
        <v>1.11040461505347</v>
      </c>
      <c r="AO340" s="32">
        <f t="shared" ref="AO340:AO403" si="348">IMARGUMENT(AM340)</f>
        <v>-0.449711330978898</v>
      </c>
      <c r="AP340" s="30" t="str">
        <f t="shared" ref="AP340:AP403" si="349">(IMDIV(IMPRODUCT(AF340,AJ340,AM340),IMPRODUCT(AG340)))</f>
        <v>2,90317334034846-4,45103961587229i</v>
      </c>
      <c r="AQ340" s="32">
        <f t="shared" ref="AQ340:AQ403" si="350">20*LOG(IMABS(AP340))</f>
        <v>14.5086729300507</v>
      </c>
      <c r="AR340" s="31">
        <f t="shared" ref="AR340:AR403" si="351">(180/PI())*IMARGUMENT(AP340)</f>
        <v>-56.8857553544884</v>
      </c>
      <c r="AS340" t="str">
        <f t="shared" si="327"/>
        <v>-0,000201496259351621</v>
      </c>
      <c r="AT340" t="str">
        <f t="shared" si="328"/>
        <v>0,02343057468758i</v>
      </c>
      <c r="AU340">
        <f t="shared" ref="AU340:AU403" si="352">IMABS(AT340)</f>
        <v>0.02343057468758</v>
      </c>
      <c r="AV340">
        <f t="shared" ref="AV340:AV403" si="353">IMARGUMENT(AT340)</f>
        <v>1.5707963267949</v>
      </c>
      <c r="AW340" t="str">
        <f t="shared" si="329"/>
        <v>1+1,19960244807237i</v>
      </c>
      <c r="AX340">
        <f t="shared" ref="AX340:AX403" si="354">IMABS(AW340)</f>
        <v>1.56174454806835</v>
      </c>
      <c r="AY340">
        <f t="shared" ref="AY340:AY403" si="355">IMARGUMENT(AW340)</f>
        <v>0.875895087619666</v>
      </c>
      <c r="AZ340" t="str">
        <f t="shared" si="330"/>
        <v>1+57,3512064003961i</v>
      </c>
      <c r="BA340">
        <f t="shared" ref="BA340:BA403" si="356">IMABS(AZ340)</f>
        <v>57.3599239502707</v>
      </c>
      <c r="BB340">
        <f t="shared" ref="BB340:BB403" si="357">IMARGUMENT(AZ340)</f>
        <v>1.55336166868969</v>
      </c>
      <c r="BC340" s="30" t="str">
        <f t="shared" ref="BC340:BC403" si="358">IMPRODUCT(AS340,IMDIV(AZ340,IMPRODUCT(AT340,AW340)))</f>
        <v>-0,197982232229195+0,246099685233004i</v>
      </c>
      <c r="BD340" s="32">
        <f t="shared" ref="BD340:BD403" si="359">20*LOG(IMABS(BC340))</f>
        <v>-10.0103476859337</v>
      </c>
      <c r="BE340" s="31">
        <f t="shared" ref="BE340:BE403" si="360">(180/PI())*IMARGUMENT(BC340)</f>
        <v>128.815975856469</v>
      </c>
      <c r="BF340" s="30" t="str">
        <f t="shared" ref="BF340:BF403" si="361">IMPRODUCT(AC340,BC340)</f>
        <v>0,710870677338764+0,0207985590066899i</v>
      </c>
      <c r="BG340" s="68">
        <f t="shared" ref="BG340:BG403" si="362">20*LOG(IMABS(BF340))</f>
        <v>-2.96047192262704</v>
      </c>
      <c r="BH340" s="31">
        <f t="shared" ref="BH340:BH403" si="363">(180/PI())*IMARGUMENT(BF340)</f>
        <v>1.67587415187259</v>
      </c>
      <c r="BI340" s="30" t="str">
        <f t="shared" si="316"/>
        <v>0,520622709955325+1,59569680412758i</v>
      </c>
      <c r="BJ340" s="68">
        <f t="shared" ref="BJ340:BJ403" si="364">20*LOG(IMABS(BI340))</f>
        <v>4.498325244117</v>
      </c>
      <c r="BK340" s="31">
        <f t="shared" si="317"/>
        <v>71.9302205019811</v>
      </c>
      <c r="BL340" s="32">
        <f t="shared" ref="BL340:BL403" si="365">IF($B$31=0,BJ340,BG340)</f>
        <v>-2.96047192262704</v>
      </c>
      <c r="BM340" s="31">
        <f t="shared" ref="BM340:BM403" si="366">IF($B$31=0,BK340,BH340)</f>
        <v>1.67587415187259</v>
      </c>
      <c r="BO340">
        <f t="shared" ref="BO340:BO403" si="367">SUM((BL341&lt;0)*(BL340&gt;0))*O340</f>
        <v>0</v>
      </c>
      <c r="BP340">
        <f t="shared" ref="BP340:BP403" si="368">IF(BO340&gt;0,BM340,0)</f>
        <v>0</v>
      </c>
    </row>
    <row r="341" spans="14:68">
      <c r="N341" s="7">
        <v>23</v>
      </c>
      <c r="O341" s="18">
        <f t="shared" si="318"/>
        <v>16982.4365246175</v>
      </c>
      <c r="P341" s="86" t="str">
        <f t="shared" si="319"/>
        <v>54,5454545454545</v>
      </c>
      <c r="Q341" s="4" t="str">
        <f t="shared" si="320"/>
        <v>1+217,287729326868i</v>
      </c>
      <c r="R341" s="4">
        <f t="shared" si="331"/>
        <v>217.29003041103</v>
      </c>
      <c r="S341" s="4">
        <f t="shared" si="332"/>
        <v>1.5661941665941</v>
      </c>
      <c r="T341" s="4" t="str">
        <f t="shared" si="321"/>
        <v>1+1,67311551581689i</v>
      </c>
      <c r="U341" s="4">
        <f t="shared" si="333"/>
        <v>1.94918329801669</v>
      </c>
      <c r="V341" s="4">
        <f t="shared" si="334"/>
        <v>1.03207903027335</v>
      </c>
      <c r="W341" t="str">
        <f t="shared" si="322"/>
        <v>1-4,80167080432142i</v>
      </c>
      <c r="X341" s="4">
        <f t="shared" si="335"/>
        <v>4.90469596540629</v>
      </c>
      <c r="Y341" s="4">
        <f t="shared" si="336"/>
        <v>-1.36547041543858</v>
      </c>
      <c r="Z341" t="str">
        <f t="shared" si="323"/>
        <v>0,997645688568876+0,33154393648886i</v>
      </c>
      <c r="AA341" s="4">
        <f t="shared" si="337"/>
        <v>1.05129363250359</v>
      </c>
      <c r="AB341" s="4">
        <f t="shared" si="338"/>
        <v>0.32084398333348</v>
      </c>
      <c r="AC341" s="67" t="str">
        <f t="shared" si="339"/>
        <v>-1,38082628081183-1,81777170851489i</v>
      </c>
      <c r="AD341" s="68">
        <f t="shared" si="340"/>
        <v>7.16919006454979</v>
      </c>
      <c r="AE341" s="31">
        <f t="shared" si="341"/>
        <v>-127.221241067013</v>
      </c>
      <c r="AF341" s="32" t="str">
        <f t="shared" si="342"/>
        <v>432,040091031901</v>
      </c>
      <c r="AG341" s="32" t="str">
        <f t="shared" si="324"/>
        <v>1+177,049260933003i</v>
      </c>
      <c r="AH341" s="32">
        <f t="shared" si="343"/>
        <v>177.052084983269</v>
      </c>
      <c r="AI341" s="32">
        <f t="shared" si="344"/>
        <v>1.56514824127856</v>
      </c>
      <c r="AJ341" s="32" t="str">
        <f t="shared" si="325"/>
        <v>1+1,67311551581689i</v>
      </c>
      <c r="AK341" s="32">
        <f t="shared" si="345"/>
        <v>1.94918329801669</v>
      </c>
      <c r="AL341" s="32">
        <f t="shared" si="346"/>
        <v>1.03207903027335</v>
      </c>
      <c r="AM341" s="32" t="str">
        <f t="shared" si="326"/>
        <v>1-0,49394259368131i</v>
      </c>
      <c r="AN341" s="32">
        <f t="shared" si="347"/>
        <v>1.1153381934878</v>
      </c>
      <c r="AO341" s="32">
        <f t="shared" si="348"/>
        <v>-0.45878995214153</v>
      </c>
      <c r="AP341" s="30" t="str">
        <f t="shared" si="349"/>
        <v>2,90252816487859-4,44048980717093i</v>
      </c>
      <c r="AQ341" s="32">
        <f t="shared" si="350"/>
        <v>14.4936451850066</v>
      </c>
      <c r="AR341" s="31">
        <f t="shared" si="351"/>
        <v>-56.8293439196856</v>
      </c>
      <c r="AS341" t="str">
        <f t="shared" si="327"/>
        <v>-0,000201496259351621</v>
      </c>
      <c r="AT341" t="str">
        <f t="shared" si="328"/>
        <v>0,0239763428829115i</v>
      </c>
      <c r="AU341">
        <f t="shared" si="352"/>
        <v>0.0239763428829115</v>
      </c>
      <c r="AV341">
        <f t="shared" si="353"/>
        <v>1.5707963267949</v>
      </c>
      <c r="AW341" t="str">
        <f t="shared" si="329"/>
        <v>1+1,2275447786353i</v>
      </c>
      <c r="AX341">
        <f t="shared" si="354"/>
        <v>1.5833086191753</v>
      </c>
      <c r="AY341">
        <f t="shared" si="355"/>
        <v>0.887195552109873</v>
      </c>
      <c r="AZ341" t="str">
        <f t="shared" si="330"/>
        <v>1+58,6870876083728i</v>
      </c>
      <c r="BA341">
        <f t="shared" si="356"/>
        <v>58.6956067517223</v>
      </c>
      <c r="BB341">
        <f t="shared" si="357"/>
        <v>1.55375845226714</v>
      </c>
      <c r="BC341" s="30" t="str">
        <f t="shared" si="358"/>
        <v>-0,192626068903988+0,244861086480872i</v>
      </c>
      <c r="BD341" s="32">
        <f t="shared" si="359"/>
        <v>-10.1295186440689</v>
      </c>
      <c r="BE341" s="31">
        <f t="shared" si="360"/>
        <v>128.191240959011</v>
      </c>
      <c r="BF341" s="30" t="str">
        <f t="shared" si="361"/>
        <v>0,711084693833244+0,0120395950151829i</v>
      </c>
      <c r="BG341" s="68">
        <f t="shared" si="362"/>
        <v>-2.96032857951907</v>
      </c>
      <c r="BH341" s="31">
        <f t="shared" si="363"/>
        <v>0.969999891998253</v>
      </c>
      <c r="BI341" s="30" t="str">
        <f t="shared" si="316"/>
        <v>0,528200568407442+1,56607029555707i</v>
      </c>
      <c r="BJ341" s="68">
        <f t="shared" si="364"/>
        <v>4.36412654093773</v>
      </c>
      <c r="BK341" s="31">
        <f t="shared" si="317"/>
        <v>71.3618970393257</v>
      </c>
      <c r="BL341" s="32">
        <f t="shared" si="365"/>
        <v>-2.96032857951907</v>
      </c>
      <c r="BM341" s="31">
        <f t="shared" si="366"/>
        <v>0.969999891998253</v>
      </c>
      <c r="BO341">
        <f t="shared" si="367"/>
        <v>0</v>
      </c>
      <c r="BP341">
        <f t="shared" si="368"/>
        <v>0</v>
      </c>
    </row>
    <row r="342" spans="14:68">
      <c r="N342" s="7">
        <v>24</v>
      </c>
      <c r="O342" s="18">
        <f t="shared" si="318"/>
        <v>17378.0082874938</v>
      </c>
      <c r="P342" s="86" t="str">
        <f t="shared" si="319"/>
        <v>54,5454545454545</v>
      </c>
      <c r="Q342" s="4" t="str">
        <f t="shared" si="320"/>
        <v>1+222,34901072878i</v>
      </c>
      <c r="R342" s="4">
        <f t="shared" si="331"/>
        <v>222.351259434407</v>
      </c>
      <c r="S342" s="4">
        <f t="shared" si="332"/>
        <v>1.56629892312083</v>
      </c>
      <c r="T342" s="4" t="str">
        <f t="shared" si="321"/>
        <v>1+1,71208738261161i</v>
      </c>
      <c r="U342" s="4">
        <f t="shared" si="333"/>
        <v>1.98273629252553</v>
      </c>
      <c r="V342" s="4">
        <f t="shared" si="334"/>
        <v>1.04216321824976</v>
      </c>
      <c r="W342" t="str">
        <f t="shared" si="322"/>
        <v>1-4,91351608530117i</v>
      </c>
      <c r="X342" s="4">
        <f t="shared" si="335"/>
        <v>5.01424374362808</v>
      </c>
      <c r="Y342" s="4">
        <f t="shared" si="336"/>
        <v>-1.37001821828704</v>
      </c>
      <c r="Z342" t="str">
        <f t="shared" si="323"/>
        <v>0,997534733289468+0,339266586842224i</v>
      </c>
      <c r="AA342" s="4">
        <f t="shared" si="337"/>
        <v>1.05364954376038</v>
      </c>
      <c r="AB342" s="4">
        <f t="shared" si="338"/>
        <v>0.327832656210546</v>
      </c>
      <c r="AC342" s="67" t="str">
        <f t="shared" si="339"/>
        <v>-1,4030123228636-1,84102005850749i</v>
      </c>
      <c r="AD342" s="68">
        <f t="shared" si="340"/>
        <v>7.2898637095998</v>
      </c>
      <c r="AE342" s="31">
        <f t="shared" si="341"/>
        <v>-127.310453132534</v>
      </c>
      <c r="AF342" s="32" t="str">
        <f t="shared" si="342"/>
        <v>432,040091031901</v>
      </c>
      <c r="AG342" s="32" t="str">
        <f t="shared" si="324"/>
        <v>1+181,173268001228i</v>
      </c>
      <c r="AH342" s="32">
        <f t="shared" si="343"/>
        <v>181.176027769252</v>
      </c>
      <c r="AI342" s="32">
        <f t="shared" si="344"/>
        <v>1.56527680475961</v>
      </c>
      <c r="AJ342" s="32" t="str">
        <f t="shared" si="325"/>
        <v>1+1,71208738261161i</v>
      </c>
      <c r="AK342" s="32">
        <f t="shared" si="345"/>
        <v>1.98273629252553</v>
      </c>
      <c r="AL342" s="32">
        <f t="shared" si="346"/>
        <v>1.04216321824976</v>
      </c>
      <c r="AM342" s="32" t="str">
        <f t="shared" si="326"/>
        <v>1-0,505447994703062i</v>
      </c>
      <c r="AN342" s="32">
        <f t="shared" si="347"/>
        <v>1.12048100177975</v>
      </c>
      <c r="AO342" s="32">
        <f t="shared" si="348"/>
        <v>-0.467996500192183</v>
      </c>
      <c r="AP342" s="30" t="str">
        <f t="shared" si="349"/>
        <v>2,90191202527721-4,4322940768471i</v>
      </c>
      <c r="AQ342" s="32">
        <f t="shared" si="350"/>
        <v>14.4818553731466</v>
      </c>
      <c r="AR342" s="31">
        <f t="shared" si="351"/>
        <v>-56.7864250008715</v>
      </c>
      <c r="AS342" t="str">
        <f t="shared" si="327"/>
        <v>-0,000201496259351621</v>
      </c>
      <c r="AT342" t="str">
        <f t="shared" si="328"/>
        <v>0,0245348236526039i</v>
      </c>
      <c r="AU342">
        <f t="shared" si="352"/>
        <v>0.0245348236526039</v>
      </c>
      <c r="AV342">
        <f t="shared" si="353"/>
        <v>1.5707963267949</v>
      </c>
      <c r="AW342" t="str">
        <f t="shared" si="329"/>
        <v>1+1,25613796968833i</v>
      </c>
      <c r="AX342">
        <f t="shared" si="354"/>
        <v>1.60557858695634</v>
      </c>
      <c r="AY342">
        <f t="shared" si="355"/>
        <v>0.898443534825849</v>
      </c>
      <c r="AZ342" t="str">
        <f t="shared" si="330"/>
        <v>1+60,0540854870142i</v>
      </c>
      <c r="BA342">
        <f t="shared" si="356"/>
        <v>60.0624107381781</v>
      </c>
      <c r="BB342">
        <f t="shared" si="357"/>
        <v>1.55414620913217</v>
      </c>
      <c r="BC342" s="30" t="str">
        <f t="shared" si="358"/>
        <v>-0,18731953829624+0,243511848371402i</v>
      </c>
      <c r="BD342" s="32">
        <f t="shared" si="359"/>
        <v>-10.2508952104092</v>
      </c>
      <c r="BE342" s="31">
        <f t="shared" si="360"/>
        <v>127.568995853193</v>
      </c>
      <c r="BF342" s="30" t="str">
        <f t="shared" si="361"/>
        <v>0,71112181787873+0,00320890332537033i</v>
      </c>
      <c r="BG342" s="68">
        <f t="shared" si="362"/>
        <v>-2.96103150080942</v>
      </c>
      <c r="BH342" s="31">
        <f t="shared" si="363"/>
        <v>0.258542720659145</v>
      </c>
      <c r="BI342" s="30" t="str">
        <f t="shared" si="316"/>
        <v>0,53573130242742+1,53690524115461i</v>
      </c>
      <c r="BJ342" s="68">
        <f t="shared" si="364"/>
        <v>4.23096016273743</v>
      </c>
      <c r="BK342" s="31">
        <f t="shared" si="317"/>
        <v>70.7825708523219</v>
      </c>
      <c r="BL342" s="32">
        <f t="shared" si="365"/>
        <v>-2.96103150080942</v>
      </c>
      <c r="BM342" s="31">
        <f t="shared" si="366"/>
        <v>0.258542720659145</v>
      </c>
      <c r="BO342">
        <f t="shared" si="367"/>
        <v>0</v>
      </c>
      <c r="BP342">
        <f t="shared" si="368"/>
        <v>0</v>
      </c>
    </row>
    <row r="343" spans="14:68">
      <c r="N343" s="7">
        <v>25</v>
      </c>
      <c r="O343" s="18">
        <f t="shared" si="318"/>
        <v>17782.7941003892</v>
      </c>
      <c r="P343" s="86" t="str">
        <f t="shared" si="319"/>
        <v>54,5454545454545</v>
      </c>
      <c r="Q343" s="4" t="str">
        <f t="shared" si="320"/>
        <v>1+227,528184519318i</v>
      </c>
      <c r="R343" s="4">
        <f t="shared" si="331"/>
        <v>227.530382038656</v>
      </c>
      <c r="S343" s="4">
        <f t="shared" si="332"/>
        <v>1.56640129519327</v>
      </c>
      <c r="T343" s="4" t="str">
        <f t="shared" si="321"/>
        <v>1+1,75196702079875i</v>
      </c>
      <c r="U343" s="4">
        <f t="shared" si="333"/>
        <v>2.01727252545769</v>
      </c>
      <c r="V343" s="4">
        <f t="shared" si="334"/>
        <v>1.05213399232357</v>
      </c>
      <c r="W343" t="str">
        <f t="shared" si="322"/>
        <v>1-5,02796657754743i</v>
      </c>
      <c r="X343" s="4">
        <f t="shared" si="335"/>
        <v>5.12644593309381</v>
      </c>
      <c r="Y343" s="4">
        <f t="shared" si="336"/>
        <v>-1.37447065009985</v>
      </c>
      <c r="Z343" t="str">
        <f t="shared" si="323"/>
        <v>0,997418548848842+0,347169120830656i</v>
      </c>
      <c r="AA343" s="4">
        <f t="shared" si="337"/>
        <v>1.05611086541426</v>
      </c>
      <c r="AB343" s="4">
        <f t="shared" si="338"/>
        <v>0.334952304795866</v>
      </c>
      <c r="AC343" s="67" t="str">
        <f t="shared" si="339"/>
        <v>-1,4260281156324-1,8646232126215i</v>
      </c>
      <c r="AD343" s="68">
        <f t="shared" si="340"/>
        <v>7.41181226941437</v>
      </c>
      <c r="AE343" s="31">
        <f t="shared" si="341"/>
        <v>-127.408066714316</v>
      </c>
      <c r="AF343" s="32" t="str">
        <f t="shared" si="342"/>
        <v>432,040091031901</v>
      </c>
      <c r="AG343" s="32" t="str">
        <f t="shared" si="324"/>
        <v>1+185,393335534259i</v>
      </c>
      <c r="AH343" s="32">
        <f t="shared" si="343"/>
        <v>185.396032483218</v>
      </c>
      <c r="AI343" s="32">
        <f t="shared" si="344"/>
        <v>1.56540244195485</v>
      </c>
      <c r="AJ343" s="32" t="str">
        <f t="shared" si="325"/>
        <v>1+1,75196702079875i</v>
      </c>
      <c r="AK343" s="32">
        <f t="shared" si="345"/>
        <v>2.01727252545769</v>
      </c>
      <c r="AL343" s="32">
        <f t="shared" si="346"/>
        <v>1.05213399232357</v>
      </c>
      <c r="AM343" s="32" t="str">
        <f t="shared" si="326"/>
        <v>1-0,517221390942i</v>
      </c>
      <c r="AN343" s="32">
        <f t="shared" si="347"/>
        <v>1.12584100442646</v>
      </c>
      <c r="AO343" s="32">
        <f t="shared" si="348"/>
        <v>-0.477329612809983</v>
      </c>
      <c r="AP343" s="30" t="str">
        <f t="shared" si="349"/>
        <v>2,90132361487433-4,42644810131373i</v>
      </c>
      <c r="AQ343" s="32">
        <f t="shared" si="350"/>
        <v>14.4733049749396</v>
      </c>
      <c r="AR343" s="31">
        <f t="shared" si="351"/>
        <v>-56.7570881717211</v>
      </c>
      <c r="AS343" t="str">
        <f t="shared" si="327"/>
        <v>-0,000201496259351621</v>
      </c>
      <c r="AT343" t="str">
        <f t="shared" si="328"/>
        <v>0,0251063131105535i</v>
      </c>
      <c r="AU343">
        <f t="shared" si="352"/>
        <v>0.0251063131105535</v>
      </c>
      <c r="AV343">
        <f t="shared" si="353"/>
        <v>1.5707963267949</v>
      </c>
      <c r="AW343" t="str">
        <f t="shared" si="329"/>
        <v>1+1,28539718171983i</v>
      </c>
      <c r="AX343">
        <f t="shared" si="354"/>
        <v>1.62857174075117</v>
      </c>
      <c r="AY343">
        <f t="shared" si="355"/>
        <v>0.909633615761022</v>
      </c>
      <c r="AZ343" t="str">
        <f t="shared" si="330"/>
        <v>1+61,4529248366907i</v>
      </c>
      <c r="BA343">
        <f t="shared" si="356"/>
        <v>61.4610606073793</v>
      </c>
      <c r="BB343">
        <f t="shared" si="357"/>
        <v>1.55452514441194</v>
      </c>
      <c r="BC343" s="30" t="str">
        <f t="shared" si="358"/>
        <v>-0,182067498159489+0,242054769817345i</v>
      </c>
      <c r="BD343" s="32">
        <f t="shared" si="359"/>
        <v>-10.3744559354899</v>
      </c>
      <c r="BE343" s="31">
        <f t="shared" si="360"/>
        <v>126.949562835438</v>
      </c>
      <c r="BF343" s="30" t="str">
        <f t="shared" si="361"/>
        <v>0,710974313845457-0,00568962395035738i</v>
      </c>
      <c r="BG343" s="68">
        <f t="shared" si="362"/>
        <v>-2.96264366607548</v>
      </c>
      <c r="BH343" s="31">
        <f t="shared" si="363"/>
        <v>-0.45850387887823</v>
      </c>
      <c r="BI343" s="30" t="str">
        <f t="shared" si="316"/>
        <v>0,543206144360704+1,50819155130304i</v>
      </c>
      <c r="BJ343" s="68">
        <f t="shared" si="364"/>
        <v>4.09884903944974</v>
      </c>
      <c r="BK343" s="31">
        <f t="shared" si="317"/>
        <v>70.1924746637166</v>
      </c>
      <c r="BL343" s="32">
        <f t="shared" si="365"/>
        <v>-2.96264366607548</v>
      </c>
      <c r="BM343" s="31">
        <f t="shared" si="366"/>
        <v>-0.45850387887823</v>
      </c>
      <c r="BO343">
        <f t="shared" si="367"/>
        <v>0</v>
      </c>
      <c r="BP343">
        <f t="shared" si="368"/>
        <v>0</v>
      </c>
    </row>
    <row r="344" spans="14:68">
      <c r="N344" s="7">
        <v>26</v>
      </c>
      <c r="O344" s="18">
        <f t="shared" si="318"/>
        <v>18197.0085860998</v>
      </c>
      <c r="P344" s="86" t="str">
        <f t="shared" si="319"/>
        <v>54,5454545454545</v>
      </c>
      <c r="Q344" s="4" t="str">
        <f t="shared" si="320"/>
        <v>1+232,82799676498i</v>
      </c>
      <c r="R344" s="4">
        <f t="shared" si="331"/>
        <v>232.830144263138</v>
      </c>
      <c r="S344" s="4">
        <f t="shared" si="332"/>
        <v>1.56650133708186</v>
      </c>
      <c r="T344" s="4" t="str">
        <f t="shared" si="321"/>
        <v>1+1,79277557509035i</v>
      </c>
      <c r="U344" s="4">
        <f t="shared" si="333"/>
        <v>2.05281374280292</v>
      </c>
      <c r="V344" s="4">
        <f t="shared" si="334"/>
        <v>1.06198870845611</v>
      </c>
      <c r="W344" t="str">
        <f t="shared" si="322"/>
        <v>1-5,14508296422614i</v>
      </c>
      <c r="X344" s="4">
        <f t="shared" si="335"/>
        <v>5.24136229512615</v>
      </c>
      <c r="Y344" s="4">
        <f t="shared" si="336"/>
        <v>-1.37882936515431</v>
      </c>
      <c r="Z344" t="str">
        <f t="shared" si="323"/>
        <v>0,997296888804224+0,355255728482281i</v>
      </c>
      <c r="AA344" s="4">
        <f t="shared" si="337"/>
        <v>1.05868206607936</v>
      </c>
      <c r="AB344" s="4">
        <f t="shared" si="338"/>
        <v>0.342204021393987</v>
      </c>
      <c r="AC344" s="67" t="str">
        <f t="shared" si="339"/>
        <v>-1,44989584403202-1,88855850641432i</v>
      </c>
      <c r="AD344" s="68">
        <f t="shared" si="340"/>
        <v>7.53495056759907</v>
      </c>
      <c r="AE344" s="31">
        <f t="shared" si="341"/>
        <v>-127.514393781631</v>
      </c>
      <c r="AF344" s="32" t="str">
        <f t="shared" si="342"/>
        <v>432,040091031901</v>
      </c>
      <c r="AG344" s="32" t="str">
        <f t="shared" si="324"/>
        <v>1+189,711701067762i</v>
      </c>
      <c r="AH344" s="32">
        <f t="shared" si="343"/>
        <v>189.71433662753</v>
      </c>
      <c r="AI344" s="32">
        <f t="shared" si="344"/>
        <v>1.56552521946293</v>
      </c>
      <c r="AJ344" s="32" t="str">
        <f t="shared" si="325"/>
        <v>1+1,79277557509035i</v>
      </c>
      <c r="AK344" s="32">
        <f t="shared" si="345"/>
        <v>2.05281374280292</v>
      </c>
      <c r="AL344" s="32">
        <f t="shared" si="346"/>
        <v>1.06198870845611</v>
      </c>
      <c r="AM344" s="32" t="str">
        <f t="shared" si="326"/>
        <v>1-0,529269024808654i</v>
      </c>
      <c r="AN344" s="32">
        <f t="shared" si="347"/>
        <v>1.13142640088602</v>
      </c>
      <c r="AO344" s="32">
        <f t="shared" si="348"/>
        <v>-0.486787733797334</v>
      </c>
      <c r="AP344" s="30" t="str">
        <f t="shared" si="349"/>
        <v>2,90076168579575-4,4229488013934i</v>
      </c>
      <c r="AQ344" s="32">
        <f t="shared" si="350"/>
        <v>14.4679950447987</v>
      </c>
      <c r="AR344" s="31">
        <f t="shared" si="351"/>
        <v>-56.7413995767586</v>
      </c>
      <c r="AS344" t="str">
        <f t="shared" si="327"/>
        <v>-0,000201496259351621</v>
      </c>
      <c r="AT344" t="str">
        <f t="shared" si="328"/>
        <v>0,0256911142680358i</v>
      </c>
      <c r="AU344">
        <f t="shared" si="352"/>
        <v>0.0256911142680358</v>
      </c>
      <c r="AV344">
        <f t="shared" si="353"/>
        <v>1.5707963267949</v>
      </c>
      <c r="AW344" t="str">
        <f t="shared" si="329"/>
        <v>1+1,31533792835134i</v>
      </c>
      <c r="AX344">
        <f t="shared" si="354"/>
        <v>1.65230562117291</v>
      </c>
      <c r="AY344">
        <f t="shared" si="355"/>
        <v>0.920760519035682</v>
      </c>
      <c r="AZ344" t="str">
        <f t="shared" si="330"/>
        <v>1+62,8843473405416i</v>
      </c>
      <c r="BA344">
        <f t="shared" si="356"/>
        <v>62.8922979421637</v>
      </c>
      <c r="BB344">
        <f t="shared" si="357"/>
        <v>1.5548954585874</v>
      </c>
      <c r="BC344" s="30" t="str">
        <f t="shared" si="358"/>
        <v>-0,176874592764337+0,240492893515738i</v>
      </c>
      <c r="BD344" s="32">
        <f t="shared" si="359"/>
        <v>-10.5001773961645</v>
      </c>
      <c r="BE344" s="31">
        <f t="shared" si="360"/>
        <v>126.333255678097</v>
      </c>
      <c r="BF344" s="30" t="str">
        <f t="shared" si="361"/>
        <v>0,710634636745209-0,0146516300940462i</v>
      </c>
      <c r="BG344" s="68">
        <f t="shared" si="362"/>
        <v>-2.96522682856542</v>
      </c>
      <c r="BH344" s="31">
        <f t="shared" si="363"/>
        <v>-1.18113810353355</v>
      </c>
      <c r="BI344" s="30" t="str">
        <f t="shared" si="316"/>
        <v>0,550616713237549+1,47991983928058i</v>
      </c>
      <c r="BJ344" s="68">
        <f t="shared" si="364"/>
        <v>3.96781764863423</v>
      </c>
      <c r="BK344" s="31">
        <f t="shared" si="317"/>
        <v>69.5918561013386</v>
      </c>
      <c r="BL344" s="32">
        <f t="shared" si="365"/>
        <v>-2.96522682856542</v>
      </c>
      <c r="BM344" s="31">
        <f t="shared" si="366"/>
        <v>-1.18113810353355</v>
      </c>
      <c r="BO344">
        <f t="shared" si="367"/>
        <v>0</v>
      </c>
      <c r="BP344">
        <f t="shared" si="368"/>
        <v>0</v>
      </c>
    </row>
    <row r="345" spans="14:68">
      <c r="N345" s="7">
        <v>27</v>
      </c>
      <c r="O345" s="18">
        <f t="shared" si="318"/>
        <v>18620.8713666287</v>
      </c>
      <c r="P345" s="86" t="str">
        <f t="shared" si="319"/>
        <v>54,5454545454545</v>
      </c>
      <c r="Q345" s="4" t="str">
        <f t="shared" si="320"/>
        <v>1+238,251257496372i</v>
      </c>
      <c r="R345" s="4">
        <f t="shared" si="331"/>
        <v>238.253356111939</v>
      </c>
      <c r="S345" s="4">
        <f t="shared" si="332"/>
        <v>1.56659910182211</v>
      </c>
      <c r="T345" s="4" t="str">
        <f t="shared" si="321"/>
        <v>1+1,83453468272207i</v>
      </c>
      <c r="U345" s="4">
        <f t="shared" si="333"/>
        <v>2.08938208619442</v>
      </c>
      <c r="V345" s="4">
        <f t="shared" si="334"/>
        <v>1.07172493470889</v>
      </c>
      <c r="W345" t="str">
        <f t="shared" si="322"/>
        <v>1-5,26492734199574i</v>
      </c>
      <c r="X345" s="4">
        <f t="shared" si="335"/>
        <v>5.35905401320927</v>
      </c>
      <c r="Y345" s="4">
        <f t="shared" si="336"/>
        <v>-1.38309601171243</v>
      </c>
      <c r="Z345" t="str">
        <f t="shared" si="323"/>
        <v>0,997169495098347+0,363530697423515i</v>
      </c>
      <c r="AA345" s="4">
        <f t="shared" si="337"/>
        <v>1.06136778259184</v>
      </c>
      <c r="AB345" s="4">
        <f t="shared" si="338"/>
        <v>0.349588817271344</v>
      </c>
      <c r="AC345" s="67" t="str">
        <f t="shared" si="339"/>
        <v>-1,47463748184265-1,9128018685513i</v>
      </c>
      <c r="AD345" s="68">
        <f t="shared" si="340"/>
        <v>7.65919277467953</v>
      </c>
      <c r="AE345" s="31">
        <f t="shared" si="341"/>
        <v>-127.629729092756</v>
      </c>
      <c r="AF345" s="32" t="str">
        <f t="shared" si="342"/>
        <v>432,040091031901</v>
      </c>
      <c r="AG345" s="32" t="str">
        <f t="shared" si="324"/>
        <v>1+194,130654256303i</v>
      </c>
      <c r="AH345" s="32">
        <f t="shared" si="343"/>
        <v>194.133229824212</v>
      </c>
      <c r="AI345" s="32">
        <f t="shared" si="344"/>
        <v>1.56564520236727</v>
      </c>
      <c r="AJ345" s="32" t="str">
        <f t="shared" si="325"/>
        <v>1+1,83453468272207i</v>
      </c>
      <c r="AK345" s="32">
        <f t="shared" si="345"/>
        <v>2.08938208619442</v>
      </c>
      <c r="AL345" s="32">
        <f t="shared" si="346"/>
        <v>1.07172493470889</v>
      </c>
      <c r="AM345" s="32" t="str">
        <f t="shared" si="326"/>
        <v>1-0,541597284117969i</v>
      </c>
      <c r="AN345" s="32">
        <f t="shared" si="347"/>
        <v>1.13724562789397</v>
      </c>
      <c r="AO345" s="32">
        <f t="shared" si="348"/>
        <v>-0.496369108425978</v>
      </c>
      <c r="AP345" s="30" t="str">
        <f t="shared" si="349"/>
        <v>2,90022504631809-4,42179434078328i</v>
      </c>
      <c r="AQ345" s="32">
        <f t="shared" si="350"/>
        <v>14.4659262324064</v>
      </c>
      <c r="AR345" s="31">
        <f t="shared" si="351"/>
        <v>-56.7394017462776</v>
      </c>
      <c r="AS345" t="str">
        <f t="shared" si="327"/>
        <v>-0,000201496259351621</v>
      </c>
      <c r="AT345" t="str">
        <f t="shared" si="328"/>
        <v>0,0262895371943653i</v>
      </c>
      <c r="AU345">
        <f t="shared" si="352"/>
        <v>0.0262895371943653</v>
      </c>
      <c r="AV345">
        <f t="shared" si="353"/>
        <v>1.5707963267949</v>
      </c>
      <c r="AW345" t="str">
        <f t="shared" si="329"/>
        <v>1+1,34597608456302i</v>
      </c>
      <c r="AX345">
        <f t="shared" si="354"/>
        <v>1.67679802606504</v>
      </c>
      <c r="AY345">
        <f t="shared" si="355"/>
        <v>0.931819123978519</v>
      </c>
      <c r="AZ345" t="str">
        <f t="shared" si="330"/>
        <v>1+64,3491119577256i</v>
      </c>
      <c r="BA345">
        <f t="shared" si="356"/>
        <v>64.356881603663</v>
      </c>
      <c r="BB345">
        <f t="shared" si="357"/>
        <v>1.55525734759754</v>
      </c>
      <c r="BC345" s="30" t="str">
        <f t="shared" si="358"/>
        <v>-0,171745238540424+0,2388294875748i</v>
      </c>
      <c r="BD345" s="32">
        <f t="shared" si="359"/>
        <v>-10.6280342873012</v>
      </c>
      <c r="BE345" s="31">
        <f t="shared" si="360"/>
        <v>125.720379000503</v>
      </c>
      <c r="BF345" s="30" t="str">
        <f t="shared" si="361"/>
        <v>0,710095456177943-0,0236723009521618i</v>
      </c>
      <c r="BG345" s="68">
        <f t="shared" si="362"/>
        <v>-2.96884151262166</v>
      </c>
      <c r="BH345" s="31">
        <f t="shared" si="363"/>
        <v>-1.90935009225344</v>
      </c>
      <c r="BI345" s="30" t="str">
        <f t="shared" si="316"/>
        <v>0,557955034169609+1,45208138549827i</v>
      </c>
      <c r="BJ345" s="68">
        <f t="shared" si="364"/>
        <v>3.83789194510524</v>
      </c>
      <c r="BK345" s="31">
        <f t="shared" si="317"/>
        <v>68.9809772542255</v>
      </c>
      <c r="BL345" s="32">
        <f t="shared" si="365"/>
        <v>-2.96884151262166</v>
      </c>
      <c r="BM345" s="31">
        <f t="shared" si="366"/>
        <v>-1.90935009225344</v>
      </c>
      <c r="BO345">
        <f t="shared" si="367"/>
        <v>0</v>
      </c>
      <c r="BP345">
        <f t="shared" si="368"/>
        <v>0</v>
      </c>
    </row>
    <row r="346" spans="14:68">
      <c r="N346" s="7">
        <v>28</v>
      </c>
      <c r="O346" s="18">
        <f t="shared" si="318"/>
        <v>19054.6071796325</v>
      </c>
      <c r="P346" s="86" t="str">
        <f t="shared" si="319"/>
        <v>54,5454545454545</v>
      </c>
      <c r="Q346" s="4" t="str">
        <f t="shared" si="320"/>
        <v>1+243,800842198115i</v>
      </c>
      <c r="R346" s="4">
        <f t="shared" si="331"/>
        <v>243.802893043766</v>
      </c>
      <c r="S346" s="4">
        <f t="shared" si="332"/>
        <v>1.56669464124272</v>
      </c>
      <c r="T346" s="4" t="str">
        <f t="shared" si="321"/>
        <v>1+1,87726648492549i</v>
      </c>
      <c r="U346" s="4">
        <f t="shared" si="333"/>
        <v>2.12700010705794</v>
      </c>
      <c r="V346" s="4">
        <f t="shared" si="334"/>
        <v>1.08134044912247</v>
      </c>
      <c r="W346" t="str">
        <f t="shared" si="322"/>
        <v>1-5,38756325393158i</v>
      </c>
      <c r="X346" s="4">
        <f t="shared" si="335"/>
        <v>5.47958372644436</v>
      </c>
      <c r="Y346" s="4">
        <f t="shared" si="336"/>
        <v>-1.38727223033673</v>
      </c>
      <c r="Z346" t="str">
        <f t="shared" si="323"/>
        <v>0,997036097512081+0,371998415152418i</v>
      </c>
      <c r="AA346" s="4">
        <f t="shared" si="337"/>
        <v>1.06417282460042</v>
      </c>
      <c r="AB346" s="4">
        <f t="shared" si="338"/>
        <v>0.357107616484072</v>
      </c>
      <c r="AC346" s="67" t="str">
        <f t="shared" si="339"/>
        <v>-1,50027471008348-1,93732777995244i</v>
      </c>
      <c r="AD346" s="68">
        <f t="shared" si="340"/>
        <v>7.78445250199381</v>
      </c>
      <c r="AE346" s="31">
        <f t="shared" si="341"/>
        <v>-127.754349867981</v>
      </c>
      <c r="AF346" s="32" t="str">
        <f t="shared" si="342"/>
        <v>432,040091031901</v>
      </c>
      <c r="AG346" s="32" t="str">
        <f t="shared" si="324"/>
        <v>1+198,652538087353i</v>
      </c>
      <c r="AH346" s="32">
        <f t="shared" si="343"/>
        <v>198.65505502893</v>
      </c>
      <c r="AI346" s="32">
        <f t="shared" si="344"/>
        <v>1.56576245427059</v>
      </c>
      <c r="AJ346" s="32" t="str">
        <f t="shared" si="325"/>
        <v>1+1,87726648492549i</v>
      </c>
      <c r="AK346" s="32">
        <f t="shared" si="345"/>
        <v>2.12700010705794</v>
      </c>
      <c r="AL346" s="32">
        <f t="shared" si="346"/>
        <v>1.08134044912247</v>
      </c>
      <c r="AM346" s="32" t="str">
        <f t="shared" si="326"/>
        <v>1-0,554212705476206i</v>
      </c>
      <c r="AN346" s="32">
        <f t="shared" si="347"/>
        <v>1.14330736152238</v>
      </c>
      <c r="AO346" s="32">
        <f t="shared" si="348"/>
        <v>-0.50607177928468</v>
      </c>
      <c r="AP346" s="30" t="str">
        <f t="shared" si="349"/>
        <v>2,89971255834266-4,42298412517244i</v>
      </c>
      <c r="AQ346" s="32">
        <f t="shared" si="350"/>
        <v>14.4670987960915</v>
      </c>
      <c r="AR346" s="31">
        <f t="shared" si="351"/>
        <v>-56.7511134819405</v>
      </c>
      <c r="AS346" t="str">
        <f t="shared" si="327"/>
        <v>-0,000201496259351621</v>
      </c>
      <c r="AT346" t="str">
        <f t="shared" si="328"/>
        <v>0,0269018991812982i</v>
      </c>
      <c r="AU346">
        <f t="shared" si="352"/>
        <v>0.0269018991812982</v>
      </c>
      <c r="AV346">
        <f t="shared" si="353"/>
        <v>1.5707963267949</v>
      </c>
      <c r="AW346" t="str">
        <f t="shared" si="329"/>
        <v>1+1,37732789511083i</v>
      </c>
      <c r="AX346">
        <f t="shared" si="354"/>
        <v>1.70206701708553</v>
      </c>
      <c r="AY346">
        <f t="shared" si="355"/>
        <v>0.942804475312562</v>
      </c>
      <c r="AZ346" t="str">
        <f t="shared" si="330"/>
        <v>1+65,8479953258302i</v>
      </c>
      <c r="BA346">
        <f t="shared" si="356"/>
        <v>65.8555881336623</v>
      </c>
      <c r="BB346">
        <f t="shared" si="357"/>
        <v>1.55561100294132</v>
      </c>
      <c r="BC346" s="30" t="str">
        <f t="shared" si="358"/>
        <v>-0,166683611513167+0,237068026248829i</v>
      </c>
      <c r="BD346" s="32">
        <f t="shared" si="359"/>
        <v>-10.757999519045</v>
      </c>
      <c r="BE346" s="31">
        <f t="shared" si="360"/>
        <v>125.111227691195</v>
      </c>
      <c r="BF346" s="30" t="str">
        <f t="shared" si="361"/>
        <v>0,709349679928935-0,032746373303266i</v>
      </c>
      <c r="BG346" s="68">
        <f t="shared" si="362"/>
        <v>-2.9735470170512</v>
      </c>
      <c r="BH346" s="31">
        <f t="shared" si="363"/>
        <v>-2.64312217678628</v>
      </c>
      <c r="BI346" s="30" t="str">
        <f t="shared" si="316"/>
        <v>0,565213555109894+1,42466810054438i</v>
      </c>
      <c r="BJ346" s="68">
        <f t="shared" si="364"/>
        <v>3.70909927704642</v>
      </c>
      <c r="BK346" s="31">
        <f t="shared" si="317"/>
        <v>68.3601142092545</v>
      </c>
      <c r="BL346" s="32">
        <f t="shared" si="365"/>
        <v>-2.9735470170512</v>
      </c>
      <c r="BM346" s="31">
        <f t="shared" si="366"/>
        <v>-2.64312217678628</v>
      </c>
      <c r="BO346">
        <f t="shared" si="367"/>
        <v>0</v>
      </c>
      <c r="BP346">
        <f t="shared" si="368"/>
        <v>0</v>
      </c>
    </row>
    <row r="347" spans="14:68">
      <c r="N347" s="7">
        <v>29</v>
      </c>
      <c r="O347" s="18">
        <f t="shared" si="318"/>
        <v>19498.4459975805</v>
      </c>
      <c r="P347" s="86" t="str">
        <f t="shared" si="319"/>
        <v>54,5454545454545</v>
      </c>
      <c r="Q347" s="4" t="str">
        <f t="shared" si="320"/>
        <v>1+249,479693333476i</v>
      </c>
      <c r="R347" s="4">
        <f t="shared" si="331"/>
        <v>249.48169749656</v>
      </c>
      <c r="S347" s="4">
        <f t="shared" si="332"/>
        <v>1.56678800599296</v>
      </c>
      <c r="T347" s="4" t="str">
        <f t="shared" si="321"/>
        <v>1+1,92099363866777i</v>
      </c>
      <c r="U347" s="4">
        <f t="shared" si="333"/>
        <v>2.16569078120632</v>
      </c>
      <c r="V347" s="4">
        <f t="shared" si="334"/>
        <v>1.09083323691423</v>
      </c>
      <c r="W347" t="str">
        <f t="shared" si="322"/>
        <v>1-5,51305572321745i</v>
      </c>
      <c r="X347" s="4">
        <f t="shared" si="335"/>
        <v>5.60301556372108</v>
      </c>
      <c r="Y347" s="4">
        <f t="shared" si="336"/>
        <v>-1.39135965233689</v>
      </c>
      <c r="Z347" t="str">
        <f t="shared" si="323"/>
        <v>0,996896413091261+0,380663371365014i</v>
      </c>
      <c r="AA347" s="4">
        <f t="shared" si="337"/>
        <v>1.06710217914368</v>
      </c>
      <c r="AB347" s="4">
        <f t="shared" si="338"/>
        <v>0.364761249550626</v>
      </c>
      <c r="AC347" s="67" t="str">
        <f t="shared" si="339"/>
        <v>-1,52682882969974-1,96210923659297i</v>
      </c>
      <c r="AD347" s="68">
        <f t="shared" si="340"/>
        <v>7.91064289507891</v>
      </c>
      <c r="AE347" s="31">
        <f t="shared" si="341"/>
        <v>-127.888515500197</v>
      </c>
      <c r="AF347" s="32" t="str">
        <f t="shared" si="342"/>
        <v>432,040091031901</v>
      </c>
      <c r="AG347" s="32" t="str">
        <f t="shared" si="324"/>
        <v>1+203,279750123573i</v>
      </c>
      <c r="AH347" s="32">
        <f t="shared" si="343"/>
        <v>203.282209773266</v>
      </c>
      <c r="AI347" s="32">
        <f t="shared" si="344"/>
        <v>1.56587703732849</v>
      </c>
      <c r="AJ347" s="32" t="str">
        <f t="shared" si="325"/>
        <v>1+1,92099363866777i</v>
      </c>
      <c r="AK347" s="32">
        <f t="shared" si="345"/>
        <v>2.16569078120632</v>
      </c>
      <c r="AL347" s="32">
        <f t="shared" si="346"/>
        <v>1.09083323691423</v>
      </c>
      <c r="AM347" s="32" t="str">
        <f t="shared" si="326"/>
        <v>1-0,567121977746755i</v>
      </c>
      <c r="AN347" s="32">
        <f t="shared" si="347"/>
        <v>1.14962051897284</v>
      </c>
      <c r="AO347" s="32">
        <f t="shared" si="348"/>
        <v>-0.515893582683969</v>
      </c>
      <c r="AP347" s="30" t="str">
        <f t="shared" si="349"/>
        <v>2,89922313498306-4,42651880201179i</v>
      </c>
      <c r="AQ347" s="32">
        <f t="shared" si="350"/>
        <v>14.4715126080885</v>
      </c>
      <c r="AR347" s="31">
        <f t="shared" si="351"/>
        <v>-56.7765298132668</v>
      </c>
      <c r="AS347" t="str">
        <f t="shared" si="327"/>
        <v>-0,000201496259351621</v>
      </c>
      <c r="AT347" t="str">
        <f t="shared" si="328"/>
        <v>0,0275285249112658i</v>
      </c>
      <c r="AU347">
        <f t="shared" si="352"/>
        <v>0.0275285249112658</v>
      </c>
      <c r="AV347">
        <f t="shared" si="353"/>
        <v>1.5707963267949</v>
      </c>
      <c r="AW347" t="str">
        <f t="shared" si="329"/>
        <v>1+1,4094099831397i</v>
      </c>
      <c r="AX347">
        <f t="shared" si="354"/>
        <v>1.72813092691898</v>
      </c>
      <c r="AY347">
        <f t="shared" si="355"/>
        <v>0.953711792407477</v>
      </c>
      <c r="AZ347" t="str">
        <f t="shared" si="330"/>
        <v>1+67,3817921726575i</v>
      </c>
      <c r="BA347">
        <f t="shared" si="356"/>
        <v>67.3892121663342</v>
      </c>
      <c r="BB347">
        <f t="shared" si="357"/>
        <v>1.55595661177743</v>
      </c>
      <c r="BC347" s="30" t="str">
        <f t="shared" si="358"/>
        <v>-0,161693636584508+0,235212169975936i</v>
      </c>
      <c r="BD347" s="32">
        <f t="shared" si="359"/>
        <v>-10.8900443188932</v>
      </c>
      <c r="BE347" s="31">
        <f t="shared" si="360"/>
        <v>124.506086383517</v>
      </c>
      <c r="BF347" s="30" t="str">
        <f t="shared" si="361"/>
        <v>0,708390477185079-0,0418681443747246i</v>
      </c>
      <c r="BG347" s="68">
        <f t="shared" si="362"/>
        <v>-2.97940142381434</v>
      </c>
      <c r="BH347" s="31">
        <f t="shared" si="363"/>
        <v>-3.38242911668043</v>
      </c>
      <c r="BI347" s="30" t="str">
        <f t="shared" si="316"/>
        <v>0,572385160895125+1,39767248733079i</v>
      </c>
      <c r="BJ347" s="68">
        <f t="shared" si="364"/>
        <v>3.5814682891953</v>
      </c>
      <c r="BK347" s="31">
        <f t="shared" si="317"/>
        <v>67.7295565702503</v>
      </c>
      <c r="BL347" s="32">
        <f t="shared" si="365"/>
        <v>-2.97940142381434</v>
      </c>
      <c r="BM347" s="31">
        <f t="shared" si="366"/>
        <v>-3.38242911668043</v>
      </c>
      <c r="BO347">
        <f t="shared" si="367"/>
        <v>0</v>
      </c>
      <c r="BP347">
        <f t="shared" si="368"/>
        <v>0</v>
      </c>
    </row>
    <row r="348" spans="14:68">
      <c r="N348" s="7">
        <v>30</v>
      </c>
      <c r="O348" s="18">
        <f t="shared" si="318"/>
        <v>19952.6231496888</v>
      </c>
      <c r="P348" s="86" t="str">
        <f t="shared" si="319"/>
        <v>54,5454545454545</v>
      </c>
      <c r="Q348" s="4" t="str">
        <f t="shared" si="320"/>
        <v>1+255,290821904498i</v>
      </c>
      <c r="R348" s="4">
        <f t="shared" si="331"/>
        <v>255.292780447615</v>
      </c>
      <c r="S348" s="4">
        <f t="shared" si="332"/>
        <v>1.56687924556955</v>
      </c>
      <c r="T348" s="4" t="str">
        <f t="shared" si="321"/>
        <v>1+1,96573932866464i</v>
      </c>
      <c r="U348" s="4">
        <f t="shared" si="333"/>
        <v>2.20547752386165</v>
      </c>
      <c r="V348" s="4">
        <f t="shared" si="334"/>
        <v>1.10020148704884</v>
      </c>
      <c r="W348" t="str">
        <f t="shared" si="322"/>
        <v>1-5,64147128762173i</v>
      </c>
      <c r="X348" s="4">
        <f t="shared" si="335"/>
        <v>5.72941517862516</v>
      </c>
      <c r="Y348" s="4">
        <f t="shared" si="336"/>
        <v>-1.39535989834089</v>
      </c>
      <c r="Z348" t="str">
        <f t="shared" si="323"/>
        <v>0,996750145546502+0,389530160335786i</v>
      </c>
      <c r="AA348" s="4">
        <f t="shared" si="337"/>
        <v>1.07016101520201</v>
      </c>
      <c r="AB348" s="4">
        <f t="shared" si="338"/>
        <v>0.372550446985695</v>
      </c>
      <c r="AC348" s="67" t="str">
        <f t="shared" si="339"/>
        <v>-1,55432066857438-1,98711771654623i</v>
      </c>
      <c r="AD348" s="68">
        <f t="shared" si="340"/>
        <v>8.03767672647153</v>
      </c>
      <c r="AE348" s="31">
        <f t="shared" si="341"/>
        <v>-128.032467300591</v>
      </c>
      <c r="AF348" s="32" t="str">
        <f t="shared" si="342"/>
        <v>432,040091031901</v>
      </c>
      <c r="AG348" s="32" t="str">
        <f t="shared" si="324"/>
        <v>1+208,014743774035i</v>
      </c>
      <c r="AH348" s="32">
        <f t="shared" si="343"/>
        <v>208.01714743592</v>
      </c>
      <c r="AI348" s="32">
        <f t="shared" si="344"/>
        <v>1.56598901228237</v>
      </c>
      <c r="AJ348" s="32" t="str">
        <f t="shared" si="325"/>
        <v>1+1,96573932866464i</v>
      </c>
      <c r="AK348" s="32">
        <f t="shared" si="345"/>
        <v>2.20547752386165</v>
      </c>
      <c r="AL348" s="32">
        <f t="shared" si="346"/>
        <v>1.10020148704884</v>
      </c>
      <c r="AM348" s="32" t="str">
        <f t="shared" si="326"/>
        <v>1-0,580331945596658i</v>
      </c>
      <c r="AN348" s="32">
        <f t="shared" si="347"/>
        <v>1.15619426009646</v>
      </c>
      <c r="AO348" s="32">
        <f t="shared" si="348"/>
        <v>-0.52583214567297</v>
      </c>
      <c r="AP348" s="30" t="str">
        <f t="shared" si="349"/>
        <v>2,8987557382611-4,43240026093664i</v>
      </c>
      <c r="AQ348" s="32">
        <f t="shared" si="350"/>
        <v>14.4791671516135</v>
      </c>
      <c r="AR348" s="31">
        <f t="shared" si="351"/>
        <v>-56.8156220250941</v>
      </c>
      <c r="AS348" t="str">
        <f t="shared" si="327"/>
        <v>-0,000201496259351621</v>
      </c>
      <c r="AT348" t="str">
        <f t="shared" si="328"/>
        <v>0,0281697466295244i</v>
      </c>
      <c r="AU348">
        <f t="shared" si="352"/>
        <v>0.0281697466295244</v>
      </c>
      <c r="AV348">
        <f t="shared" si="353"/>
        <v>1.5707963267949</v>
      </c>
      <c r="AW348" t="str">
        <f t="shared" si="329"/>
        <v>1+1,44223935899739i</v>
      </c>
      <c r="AX348">
        <f t="shared" si="354"/>
        <v>1.7550083671143</v>
      </c>
      <c r="AY348">
        <f t="shared" si="355"/>
        <v>0.964536477569643</v>
      </c>
      <c r="AZ348" t="str">
        <f t="shared" si="330"/>
        <v>1+68,9513157375987i</v>
      </c>
      <c r="BA348">
        <f t="shared" si="356"/>
        <v>68.9585668495657</v>
      </c>
      <c r="BB348">
        <f t="shared" si="357"/>
        <v>1.55629435702181</v>
      </c>
      <c r="BC348" s="30" t="str">
        <f t="shared" si="358"/>
        <v>-0,156778978683915+0,233265744913873i</v>
      </c>
      <c r="BD348" s="32">
        <f t="shared" si="359"/>
        <v>-11.0241383378131</v>
      </c>
      <c r="BE348" s="31">
        <f t="shared" si="360"/>
        <v>123.90522898622</v>
      </c>
      <c r="BF348" s="30" t="str">
        <f t="shared" si="361"/>
        <v>0,707211301348102-0,0510314824652007i</v>
      </c>
      <c r="BG348" s="68">
        <f t="shared" si="362"/>
        <v>-2.98646161134156</v>
      </c>
      <c r="BH348" s="31">
        <f t="shared" si="363"/>
        <v>-4.12723831437097</v>
      </c>
      <c r="BI348" s="30" t="str">
        <f t="shared" si="316"/>
        <v>0,579463184525117+1,3710876026368i</v>
      </c>
      <c r="BJ348" s="68">
        <f t="shared" si="364"/>
        <v>3.45502881380043</v>
      </c>
      <c r="BK348" s="31">
        <f t="shared" si="317"/>
        <v>67.0896069611261</v>
      </c>
      <c r="BL348" s="32">
        <f t="shared" si="365"/>
        <v>-2.98646161134156</v>
      </c>
      <c r="BM348" s="31">
        <f t="shared" si="366"/>
        <v>-4.12723831437097</v>
      </c>
      <c r="BO348">
        <f t="shared" si="367"/>
        <v>0</v>
      </c>
      <c r="BP348">
        <f t="shared" si="368"/>
        <v>0</v>
      </c>
    </row>
    <row r="349" spans="14:68">
      <c r="N349" s="7">
        <v>31</v>
      </c>
      <c r="O349" s="18">
        <f t="shared" si="318"/>
        <v>20417.3794466953</v>
      </c>
      <c r="P349" s="86" t="str">
        <f t="shared" si="319"/>
        <v>54,5454545454545</v>
      </c>
      <c r="Q349" s="4" t="str">
        <f t="shared" si="320"/>
        <v>1+261,237309048466i</v>
      </c>
      <c r="R349" s="4">
        <f t="shared" si="331"/>
        <v>261.239223010029</v>
      </c>
      <c r="S349" s="4">
        <f t="shared" si="332"/>
        <v>1.56696840834283</v>
      </c>
      <c r="T349" s="4" t="str">
        <f t="shared" si="321"/>
        <v>1+2,01152727967319i</v>
      </c>
      <c r="U349" s="4">
        <f t="shared" si="333"/>
        <v>2.24638420508813</v>
      </c>
      <c r="V349" s="4">
        <f t="shared" si="334"/>
        <v>1.10944358823619</v>
      </c>
      <c r="W349" t="str">
        <f t="shared" si="322"/>
        <v>1-5,77287803477638i</v>
      </c>
      <c r="X349" s="4">
        <f t="shared" si="335"/>
        <v>5.85884978510318</v>
      </c>
      <c r="Y349" s="4">
        <f t="shared" si="336"/>
        <v>-1.39927457698446</v>
      </c>
      <c r="Z349" t="str">
        <f t="shared" si="323"/>
        <v>0,996596984624732+0,398603483353607i</v>
      </c>
      <c r="AA349" s="4">
        <f t="shared" si="337"/>
        <v>1.0733546882111</v>
      </c>
      <c r="AB349" s="4">
        <f t="shared" si="338"/>
        <v>0.380475832714404</v>
      </c>
      <c r="AC349" s="67" t="str">
        <f t="shared" si="339"/>
        <v>-1,58277048292602-2,01232315188714i</v>
      </c>
      <c r="AD349" s="68">
        <f t="shared" si="340"/>
        <v>8.16546648789104</v>
      </c>
      <c r="AE349" s="31">
        <f t="shared" si="341"/>
        <v>-128.186428277016</v>
      </c>
      <c r="AF349" s="32" t="str">
        <f t="shared" si="342"/>
        <v>432,040091031901</v>
      </c>
      <c r="AG349" s="32" t="str">
        <f t="shared" si="324"/>
        <v>1+212,860029595046i</v>
      </c>
      <c r="AH349" s="32">
        <f t="shared" si="343"/>
        <v>212.862378543518</v>
      </c>
      <c r="AI349" s="32">
        <f t="shared" si="344"/>
        <v>1.56609843849161</v>
      </c>
      <c r="AJ349" s="32" t="str">
        <f t="shared" si="325"/>
        <v>1+2,01152727967319i</v>
      </c>
      <c r="AK349" s="32">
        <f t="shared" si="345"/>
        <v>2.24638420508813</v>
      </c>
      <c r="AL349" s="32">
        <f t="shared" si="346"/>
        <v>1.10944358823619</v>
      </c>
      <c r="AM349" s="32" t="str">
        <f t="shared" si="326"/>
        <v>1-0,593849613125714i</v>
      </c>
      <c r="AN349" s="32">
        <f t="shared" si="347"/>
        <v>1.16303798863561</v>
      </c>
      <c r="AO349" s="32">
        <f t="shared" si="348"/>
        <v>-0.535884883722346</v>
      </c>
      <c r="AP349" s="30" t="str">
        <f t="shared" si="349"/>
        <v>2,89830937690646-4,44063163484246i</v>
      </c>
      <c r="AQ349" s="32">
        <f t="shared" si="350"/>
        <v>14.4900615097921</v>
      </c>
      <c r="AR349" s="31">
        <f t="shared" si="351"/>
        <v>-56.8683377559635</v>
      </c>
      <c r="AS349" t="str">
        <f t="shared" si="327"/>
        <v>-0,000201496259351621</v>
      </c>
      <c r="AT349" t="str">
        <f t="shared" si="328"/>
        <v>0,0288259043203168i</v>
      </c>
      <c r="AU349">
        <f t="shared" si="352"/>
        <v>0.0288259043203168</v>
      </c>
      <c r="AV349">
        <f t="shared" si="353"/>
        <v>1.5707963267949</v>
      </c>
      <c r="AW349" t="str">
        <f t="shared" si="329"/>
        <v>1+1,47583342925352i</v>
      </c>
      <c r="AX349">
        <f t="shared" si="354"/>
        <v>1.78271823654278</v>
      </c>
      <c r="AY349">
        <f t="shared" si="355"/>
        <v>0.975274123350563</v>
      </c>
      <c r="AZ349" t="str">
        <f t="shared" si="330"/>
        <v>1+70,5573982028222i</v>
      </c>
      <c r="BA349">
        <f t="shared" si="356"/>
        <v>70.5644842760975</v>
      </c>
      <c r="BB349">
        <f t="shared" si="357"/>
        <v>1.55662441744306</v>
      </c>
      <c r="BC349" s="30" t="str">
        <f t="shared" si="358"/>
        <v>-0,151943035793601+0,231232722166723i</v>
      </c>
      <c r="BD349" s="32">
        <f t="shared" si="359"/>
        <v>-11.1602497596271</v>
      </c>
      <c r="BE349" s="31">
        <f t="shared" si="360"/>
        <v>123.308918270189</v>
      </c>
      <c r="BF349" s="30" t="str">
        <f t="shared" si="361"/>
        <v>0,705805912430267-0,0602298386366427i</v>
      </c>
      <c r="BG349" s="68">
        <f t="shared" si="362"/>
        <v>-2.99478327173602</v>
      </c>
      <c r="BH349" s="31">
        <f t="shared" si="363"/>
        <v>-4.87751000682717</v>
      </c>
      <c r="BI349" s="30" t="str">
        <f t="shared" si="316"/>
        <v>0,58644141566806+1,34490701834248i</v>
      </c>
      <c r="BJ349" s="68">
        <f t="shared" si="364"/>
        <v>3.32981175016501</v>
      </c>
      <c r="BK349" s="31">
        <f t="shared" si="317"/>
        <v>66.4405805142257</v>
      </c>
      <c r="BL349" s="32">
        <f t="shared" si="365"/>
        <v>-2.99478327173602</v>
      </c>
      <c r="BM349" s="31">
        <f t="shared" si="366"/>
        <v>-4.87751000682717</v>
      </c>
      <c r="BO349">
        <f t="shared" si="367"/>
        <v>0</v>
      </c>
      <c r="BP349">
        <f t="shared" si="368"/>
        <v>0</v>
      </c>
    </row>
    <row r="350" spans="14:68">
      <c r="N350" s="7">
        <v>32</v>
      </c>
      <c r="O350" s="18">
        <f t="shared" si="318"/>
        <v>20892.9613085404</v>
      </c>
      <c r="P350" s="86" t="str">
        <f t="shared" si="319"/>
        <v>54,5454545454545</v>
      </c>
      <c r="Q350" s="4" t="str">
        <f t="shared" si="320"/>
        <v>1+267,322307671578i</v>
      </c>
      <c r="R350" s="4">
        <f t="shared" si="331"/>
        <v>267.324178066365</v>
      </c>
      <c r="S350" s="4">
        <f t="shared" si="332"/>
        <v>1.56705554158242</v>
      </c>
      <c r="T350" s="4" t="str">
        <f t="shared" si="321"/>
        <v>1+2,05838176907116i</v>
      </c>
      <c r="U350" s="4">
        <f t="shared" si="333"/>
        <v>2.28843516561962</v>
      </c>
      <c r="V350" s="4">
        <f t="shared" si="334"/>
        <v>1.11855812441222</v>
      </c>
      <c r="W350" t="str">
        <f t="shared" si="322"/>
        <v>1-5,90734563827819i</v>
      </c>
      <c r="X350" s="4">
        <f t="shared" si="335"/>
        <v>5.99138819390668</v>
      </c>
      <c r="Y350" s="4">
        <f t="shared" si="336"/>
        <v>-1.40310528371261</v>
      </c>
      <c r="Z350" t="str">
        <f t="shared" si="323"/>
        <v>0,996436605451101+0,407888151214446i</v>
      </c>
      <c r="AA350" s="4">
        <f t="shared" si="337"/>
        <v>1.07668874452371</v>
      </c>
      <c r="AB350" s="4">
        <f t="shared" si="338"/>
        <v>0.388537917388537</v>
      </c>
      <c r="AC350" s="67" t="str">
        <f t="shared" si="339"/>
        <v>-1,61219785321235-2,03769390610109i</v>
      </c>
      <c r="AD350" s="68">
        <f t="shared" si="340"/>
        <v>8.29392448181704</v>
      </c>
      <c r="AE350" s="31">
        <f t="shared" si="341"/>
        <v>-128.350602942775</v>
      </c>
      <c r="AF350" s="32" t="str">
        <f t="shared" si="342"/>
        <v>432,040091031901</v>
      </c>
      <c r="AG350" s="32" t="str">
        <f t="shared" si="324"/>
        <v>1+217,818176621286i</v>
      </c>
      <c r="AH350" s="32">
        <f t="shared" si="343"/>
        <v>217.820472101733</v>
      </c>
      <c r="AI350" s="32">
        <f t="shared" si="344"/>
        <v>1.56620537396495</v>
      </c>
      <c r="AJ350" s="32" t="str">
        <f t="shared" si="325"/>
        <v>1+2,05838176907116i</v>
      </c>
      <c r="AK350" s="32">
        <f t="shared" si="345"/>
        <v>2.28843516561962</v>
      </c>
      <c r="AL350" s="32">
        <f t="shared" si="346"/>
        <v>1.11855812441222</v>
      </c>
      <c r="AM350" s="32" t="str">
        <f t="shared" si="326"/>
        <v>1-0,607682147580183i</v>
      </c>
      <c r="AN350" s="32">
        <f t="shared" si="347"/>
        <v>1.17016135318496</v>
      </c>
      <c r="AO350" s="32">
        <f t="shared" si="348"/>
        <v>-0.546048999125806</v>
      </c>
      <c r="AP350" s="30" t="str">
        <f t="shared" si="349"/>
        <v>2,8978831042553-4,45121730161523i</v>
      </c>
      <c r="AQ350" s="32">
        <f t="shared" si="350"/>
        <v>14.5041943465832</v>
      </c>
      <c r="AR350" s="31">
        <f t="shared" si="351"/>
        <v>-56.9346011672622</v>
      </c>
      <c r="AS350" t="str">
        <f t="shared" si="327"/>
        <v>-0,000201496259351621</v>
      </c>
      <c r="AT350" t="str">
        <f t="shared" si="328"/>
        <v>0,0294973458871357i</v>
      </c>
      <c r="AU350">
        <f t="shared" si="352"/>
        <v>0.0294973458871357</v>
      </c>
      <c r="AV350">
        <f t="shared" si="353"/>
        <v>1.5707963267949</v>
      </c>
      <c r="AW350" t="str">
        <f t="shared" si="329"/>
        <v>1+1,51021000592881i</v>
      </c>
      <c r="AX350">
        <f t="shared" si="354"/>
        <v>1.8112797304689</v>
      </c>
      <c r="AY350">
        <f t="shared" si="355"/>
        <v>0.985920518863396</v>
      </c>
      <c r="AZ350" t="str">
        <f t="shared" si="330"/>
        <v>1+72,2008911345111i</v>
      </c>
      <c r="BA350">
        <f t="shared" si="356"/>
        <v>72.207815924715</v>
      </c>
      <c r="BB350">
        <f t="shared" si="357"/>
        <v>1.55694696775576</v>
      </c>
      <c r="BC350" s="30" t="str">
        <f t="shared" si="358"/>
        <v>-0,147188933830629+0,229117196890184i</v>
      </c>
      <c r="BD350" s="32">
        <f t="shared" si="359"/>
        <v>-11.2983454128915</v>
      </c>
      <c r="BE350" s="31">
        <f t="shared" si="360"/>
        <v>122.717405511876</v>
      </c>
      <c r="BF350" s="30" t="str">
        <f t="shared" si="361"/>
        <v>0,704168399024446-0,0694562594481967i</v>
      </c>
      <c r="BG350" s="68">
        <f t="shared" si="362"/>
        <v>-3.00442093107442</v>
      </c>
      <c r="BH350" s="31">
        <f t="shared" si="363"/>
        <v>-5.63319743089928</v>
      </c>
      <c r="BI350" s="30" t="str">
        <f t="shared" si="316"/>
        <v>0,593314106414039+1,31912478263559i</v>
      </c>
      <c r="BJ350" s="68">
        <f t="shared" si="364"/>
        <v>3.20584893369169</v>
      </c>
      <c r="BK350" s="31">
        <f t="shared" si="317"/>
        <v>65.7828043446133</v>
      </c>
      <c r="BL350" s="32">
        <f t="shared" si="365"/>
        <v>-3.00442093107442</v>
      </c>
      <c r="BM350" s="31">
        <f t="shared" si="366"/>
        <v>-5.63319743089928</v>
      </c>
      <c r="BO350">
        <f t="shared" si="367"/>
        <v>0</v>
      </c>
      <c r="BP350">
        <f t="shared" si="368"/>
        <v>0</v>
      </c>
    </row>
    <row r="351" spans="14:68">
      <c r="N351" s="7">
        <v>33</v>
      </c>
      <c r="O351" s="18">
        <f t="shared" si="318"/>
        <v>21379.6208950223</v>
      </c>
      <c r="P351" s="86" t="str">
        <f t="shared" si="319"/>
        <v>54,5454545454545</v>
      </c>
      <c r="Q351" s="4" t="str">
        <f t="shared" si="320"/>
        <v>1+273,549044120645i</v>
      </c>
      <c r="R351" s="4">
        <f t="shared" si="331"/>
        <v>273.550871940337</v>
      </c>
      <c r="S351" s="4">
        <f t="shared" si="332"/>
        <v>1.56714069148221</v>
      </c>
      <c r="T351" s="4" t="str">
        <f t="shared" si="321"/>
        <v>1+2,10632763972897i</v>
      </c>
      <c r="U351" s="4">
        <f t="shared" si="333"/>
        <v>2.33165523306646</v>
      </c>
      <c r="V351" s="4">
        <f t="shared" si="334"/>
        <v>1.12754386975793</v>
      </c>
      <c r="W351" t="str">
        <f t="shared" si="322"/>
        <v>1-6,04494539463034i</v>
      </c>
      <c r="X351" s="4">
        <f t="shared" si="335"/>
        <v>6.12710084983612</v>
      </c>
      <c r="Y351" s="4">
        <f t="shared" si="336"/>
        <v>-1.40685359968749</v>
      </c>
      <c r="Z351" t="str">
        <f t="shared" si="323"/>
        <v>0,996268667839879+0,417389086772094i</v>
      </c>
      <c r="AA351" s="4">
        <f t="shared" si="337"/>
        <v>1.08016892580554</v>
      </c>
      <c r="AB351" s="4">
        <f t="shared" si="338"/>
        <v>0.396737091629145</v>
      </c>
      <c r="AC351" s="67" t="str">
        <f t="shared" si="339"/>
        <v>-1,64262157472044-2,06319675766413i</v>
      </c>
      <c r="AD351" s="68">
        <f t="shared" si="340"/>
        <v>8.42296291250998</v>
      </c>
      <c r="AE351" s="31">
        <f t="shared" si="341"/>
        <v>-128.525177153692</v>
      </c>
      <c r="AF351" s="32" t="str">
        <f t="shared" si="342"/>
        <v>432,040091031901</v>
      </c>
      <c r="AG351" s="32" t="str">
        <f t="shared" si="324"/>
        <v>1+222,891813727933i</v>
      </c>
      <c r="AH351" s="32">
        <f t="shared" si="343"/>
        <v>222.894056957398</v>
      </c>
      <c r="AI351" s="32">
        <f t="shared" si="344"/>
        <v>1.56630987539118</v>
      </c>
      <c r="AJ351" s="32" t="str">
        <f t="shared" si="325"/>
        <v>1+2,10632763972897i</v>
      </c>
      <c r="AK351" s="32">
        <f t="shared" si="345"/>
        <v>2.33165523306646</v>
      </c>
      <c r="AL351" s="32">
        <f t="shared" si="346"/>
        <v>1.12754386975793</v>
      </c>
      <c r="AM351" s="32" t="str">
        <f t="shared" si="326"/>
        <v>1-0,621836883152919i</v>
      </c>
      <c r="AN351" s="32">
        <f t="shared" si="347"/>
        <v>1.17757424787116</v>
      </c>
      <c r="AO351" s="32">
        <f t="shared" si="348"/>
        <v>-0.556321480170032</v>
      </c>
      <c r="AP351" s="30" t="str">
        <f t="shared" si="349"/>
        <v>2,89747601624328-4,46416288651694i</v>
      </c>
      <c r="AQ351" s="32">
        <f t="shared" si="350"/>
        <v>14.5215638799408</v>
      </c>
      <c r="AR351" s="31">
        <f t="shared" si="351"/>
        <v>-57.0143131828127</v>
      </c>
      <c r="AS351" t="str">
        <f t="shared" si="327"/>
        <v>-0,000201496259351621</v>
      </c>
      <c r="AT351" t="str">
        <f t="shared" si="328"/>
        <v>0,0301844273371874i</v>
      </c>
      <c r="AU351">
        <f t="shared" si="352"/>
        <v>0.0301844273371874</v>
      </c>
      <c r="AV351">
        <f t="shared" si="353"/>
        <v>1.5707963267949</v>
      </c>
      <c r="AW351" t="str">
        <f t="shared" si="329"/>
        <v>1+1,54538731593922i</v>
      </c>
      <c r="AX351">
        <f t="shared" si="354"/>
        <v>1.84071235022364</v>
      </c>
      <c r="AY351">
        <f t="shared" si="355"/>
        <v>0.99647165510605</v>
      </c>
      <c r="AZ351" t="str">
        <f t="shared" si="330"/>
        <v>1+73,8826659343706i</v>
      </c>
      <c r="BA351">
        <f t="shared" si="356"/>
        <v>73.8894331117096</v>
      </c>
      <c r="BB351">
        <f t="shared" si="357"/>
        <v>1.55726217871176</v>
      </c>
      <c r="BC351" s="30" t="str">
        <f t="shared" si="358"/>
        <v>-0,142519523348668+0,226923367455456i</v>
      </c>
      <c r="BD351" s="32">
        <f t="shared" si="359"/>
        <v>-11.4383908845093</v>
      </c>
      <c r="BE351" s="31">
        <f t="shared" si="360"/>
        <v>122.130930193539</v>
      </c>
      <c r="BF351" s="30" t="str">
        <f t="shared" si="361"/>
        <v>0,702293199843718-0,078703400713737i</v>
      </c>
      <c r="BG351" s="68">
        <f t="shared" si="362"/>
        <v>-3.01542797199936</v>
      </c>
      <c r="BH351" s="31">
        <f t="shared" si="363"/>
        <v>-6.39424696015355</v>
      </c>
      <c r="BI351" s="30" t="str">
        <f t="shared" si="316"/>
        <v>0,600075974328903+1,29373538146455i</v>
      </c>
      <c r="BJ351" s="68">
        <f t="shared" si="364"/>
        <v>3.08317299543147</v>
      </c>
      <c r="BK351" s="31">
        <f t="shared" si="317"/>
        <v>65.1166170107258</v>
      </c>
      <c r="BL351" s="32">
        <f t="shared" si="365"/>
        <v>-3.01542797199936</v>
      </c>
      <c r="BM351" s="31">
        <f t="shared" si="366"/>
        <v>-6.39424696015355</v>
      </c>
      <c r="BO351">
        <f t="shared" si="367"/>
        <v>0</v>
      </c>
      <c r="BP351">
        <f t="shared" si="368"/>
        <v>0</v>
      </c>
    </row>
    <row r="352" spans="14:68">
      <c r="N352" s="7">
        <v>34</v>
      </c>
      <c r="O352" s="18">
        <f t="shared" si="318"/>
        <v>21877.6162394955</v>
      </c>
      <c r="P352" s="86" t="str">
        <f t="shared" si="319"/>
        <v>54,5454545454545</v>
      </c>
      <c r="Q352" s="4" t="str">
        <f t="shared" si="320"/>
        <v>1+279,920819893755i</v>
      </c>
      <c r="R352" s="4">
        <f t="shared" si="331"/>
        <v>279.92260610746</v>
      </c>
      <c r="S352" s="4">
        <f t="shared" si="332"/>
        <v>1.56722390318487</v>
      </c>
      <c r="T352" s="4" t="str">
        <f t="shared" si="321"/>
        <v>1+2,15539031318192i</v>
      </c>
      <c r="U352" s="4">
        <f t="shared" si="333"/>
        <v>2.376069738488</v>
      </c>
      <c r="V352" s="4">
        <f t="shared" si="334"/>
        <v>1.13639978331145</v>
      </c>
      <c r="W352" t="str">
        <f t="shared" si="322"/>
        <v>1-6,18575026104505i</v>
      </c>
      <c r="X352" s="4">
        <f t="shared" si="335"/>
        <v>6.26605986980805</v>
      </c>
      <c r="Y352" s="4">
        <f t="shared" si="336"/>
        <v>-1.41052109079653</v>
      </c>
      <c r="Z352" t="str">
        <f t="shared" si="323"/>
        <v>0,996092815572876+0,427111327548348i</v>
      </c>
      <c r="AA352" s="4">
        <f t="shared" si="337"/>
        <v>1.08380117335054</v>
      </c>
      <c r="AB352" s="4">
        <f t="shared" si="338"/>
        <v>0.405073619222891</v>
      </c>
      <c r="AC352" s="67" t="str">
        <f t="shared" si="339"/>
        <v>-1,67405954309504-2,08879689047912i</v>
      </c>
      <c r="AD352" s="68">
        <f t="shared" si="340"/>
        <v>8.55249397656492</v>
      </c>
      <c r="AE352" s="31">
        <f t="shared" si="341"/>
        <v>-128.710317971577</v>
      </c>
      <c r="AF352" s="32" t="str">
        <f t="shared" si="342"/>
        <v>432,040091031901</v>
      </c>
      <c r="AG352" s="32" t="str">
        <f t="shared" si="324"/>
        <v>1+228,083631024541i</v>
      </c>
      <c r="AH352" s="32">
        <f t="shared" si="343"/>
        <v>228.085823192365</v>
      </c>
      <c r="AI352" s="32">
        <f t="shared" si="344"/>
        <v>1.56641199816923</v>
      </c>
      <c r="AJ352" s="32" t="str">
        <f t="shared" si="325"/>
        <v>1+2,15539031318192i</v>
      </c>
      <c r="AK352" s="32">
        <f t="shared" si="345"/>
        <v>2.376069738488</v>
      </c>
      <c r="AL352" s="32">
        <f t="shared" si="346"/>
        <v>1.13639978331145</v>
      </c>
      <c r="AM352" s="32" t="str">
        <f t="shared" si="326"/>
        <v>1-0,636321324872088i</v>
      </c>
      <c r="AN352" s="32">
        <f t="shared" si="347"/>
        <v>1.18528681275334</v>
      </c>
      <c r="AO352" s="32">
        <f t="shared" si="348"/>
        <v>-0.566699101120009</v>
      </c>
      <c r="AP352" s="30" t="str">
        <f t="shared" si="349"/>
        <v>2,89708724948898-4,47947526522839i</v>
      </c>
      <c r="AQ352" s="32">
        <f t="shared" si="350"/>
        <v>14.542167847558</v>
      </c>
      <c r="AR352" s="31">
        <f t="shared" si="351"/>
        <v>-57.1073517984578</v>
      </c>
      <c r="AS352" t="str">
        <f t="shared" si="327"/>
        <v>-0,000201496259351621</v>
      </c>
      <c r="AT352" t="str">
        <f t="shared" si="328"/>
        <v>0,0308875129701515i</v>
      </c>
      <c r="AU352">
        <f t="shared" si="352"/>
        <v>0.0308875129701515</v>
      </c>
      <c r="AV352">
        <f t="shared" si="353"/>
        <v>1.5707963267949</v>
      </c>
      <c r="AW352" t="str">
        <f t="shared" si="329"/>
        <v>1+1,58138401076017i</v>
      </c>
      <c r="AX352">
        <f t="shared" si="354"/>
        <v>1.87103591346824</v>
      </c>
      <c r="AY352">
        <f t="shared" si="355"/>
        <v>1.00692372929771</v>
      </c>
      <c r="AZ352" t="str">
        <f t="shared" si="330"/>
        <v>1+75,6036143016615i</v>
      </c>
      <c r="BA352">
        <f t="shared" si="356"/>
        <v>75.6102274528677</v>
      </c>
      <c r="BB352">
        <f t="shared" si="357"/>
        <v>1.55757021718936</v>
      </c>
      <c r="BC352" s="30" t="str">
        <f t="shared" si="358"/>
        <v>-0,137937378003886+0,22465551484227i</v>
      </c>
      <c r="BD352" s="32">
        <f t="shared" si="359"/>
        <v>-11.5803506343319</v>
      </c>
      <c r="BE352" s="31">
        <f t="shared" si="360"/>
        <v>121.549719759893</v>
      </c>
      <c r="BF352" s="30" t="str">
        <f t="shared" si="361"/>
        <v>0,700175124828433-0,0879635422752715i</v>
      </c>
      <c r="BG352" s="68">
        <f t="shared" si="362"/>
        <v>-3.02785665776701</v>
      </c>
      <c r="BH352" s="31">
        <f t="shared" si="363"/>
        <v>-7.16059821168357</v>
      </c>
      <c r="BI352" s="30" t="str">
        <f t="shared" si="316"/>
        <v>0,606722202890098+1,26873370049579i</v>
      </c>
      <c r="BJ352" s="68">
        <f t="shared" si="364"/>
        <v>2.9618172132261</v>
      </c>
      <c r="BK352" s="31">
        <f t="shared" si="317"/>
        <v>64.4423679614355</v>
      </c>
      <c r="BL352" s="32">
        <f t="shared" si="365"/>
        <v>-3.02785665776701</v>
      </c>
      <c r="BM352" s="31">
        <f t="shared" si="366"/>
        <v>-7.16059821168357</v>
      </c>
      <c r="BO352">
        <f t="shared" si="367"/>
        <v>0</v>
      </c>
      <c r="BP352">
        <f t="shared" si="368"/>
        <v>0</v>
      </c>
    </row>
    <row r="353" spans="14:68">
      <c r="N353" s="7">
        <v>35</v>
      </c>
      <c r="O353" s="18">
        <f t="shared" si="318"/>
        <v>22387.2113856834</v>
      </c>
      <c r="P353" s="86" t="str">
        <f t="shared" si="319"/>
        <v>54,5454545454545</v>
      </c>
      <c r="Q353" s="4" t="str">
        <f t="shared" si="320"/>
        <v>1+286,441013390761i</v>
      </c>
      <c r="R353" s="4">
        <f t="shared" si="331"/>
        <v>286.442758945528</v>
      </c>
      <c r="S353" s="4">
        <f t="shared" si="332"/>
        <v>1.56730522080574</v>
      </c>
      <c r="T353" s="4" t="str">
        <f t="shared" si="321"/>
        <v>1+2,20559580310887i</v>
      </c>
      <c r="U353" s="4">
        <f t="shared" si="333"/>
        <v>2.42170453331769</v>
      </c>
      <c r="V353" s="4">
        <f t="shared" si="334"/>
        <v>1.14512500322676</v>
      </c>
      <c r="W353" t="str">
        <f t="shared" si="322"/>
        <v>1-6,32983489412621i</v>
      </c>
      <c r="X353" s="4">
        <f t="shared" si="335"/>
        <v>6.40833908176665</v>
      </c>
      <c r="Y353" s="4">
        <f t="shared" si="336"/>
        <v>-1.41410930675544</v>
      </c>
      <c r="Z353" t="str">
        <f t="shared" si="323"/>
        <v>0,995908675643859+0,437060028403952i</v>
      </c>
      <c r="AA353" s="4">
        <f t="shared" si="337"/>
        <v>1.08759163230101</v>
      </c>
      <c r="AB353" s="4">
        <f t="shared" si="338"/>
        <v>0.413547630302224</v>
      </c>
      <c r="AC353" s="67" t="str">
        <f t="shared" si="339"/>
        <v>-1,70652863512952-2,11445789186109i</v>
      </c>
      <c r="AD353" s="68">
        <f t="shared" si="340"/>
        <v>8.68242995311163</v>
      </c>
      <c r="AE353" s="31">
        <f t="shared" si="341"/>
        <v>-128.906173552401</v>
      </c>
      <c r="AF353" s="32" t="str">
        <f t="shared" si="342"/>
        <v>432,040091031901</v>
      </c>
      <c r="AG353" s="32" t="str">
        <f t="shared" si="324"/>
        <v>1+233,396381281361i</v>
      </c>
      <c r="AH353" s="32">
        <f t="shared" si="343"/>
        <v>233.398523549817</v>
      </c>
      <c r="AI353" s="32">
        <f t="shared" si="344"/>
        <v>1.56651179643742</v>
      </c>
      <c r="AJ353" s="32" t="str">
        <f t="shared" si="325"/>
        <v>1+2,20559580310887i</v>
      </c>
      <c r="AK353" s="32">
        <f t="shared" si="345"/>
        <v>2.42170453331769</v>
      </c>
      <c r="AL353" s="32">
        <f t="shared" si="346"/>
        <v>1.14512500322676</v>
      </c>
      <c r="AM353" s="32" t="str">
        <f t="shared" si="326"/>
        <v>1-0,65114315258041i</v>
      </c>
      <c r="AN353" s="32">
        <f t="shared" si="347"/>
        <v>1.19330943394928</v>
      </c>
      <c r="AO353" s="32">
        <f t="shared" si="348"/>
        <v>-0.577178423062639</v>
      </c>
      <c r="AP353" s="30" t="str">
        <f t="shared" si="349"/>
        <v>2,89671597946338-4,49716256755095i</v>
      </c>
      <c r="AQ353" s="32">
        <f t="shared" si="350"/>
        <v>14.5660034656305</v>
      </c>
      <c r="AR353" s="31">
        <f t="shared" si="351"/>
        <v>-57.2135724610284</v>
      </c>
      <c r="AS353" t="str">
        <f t="shared" si="327"/>
        <v>-0,000201496259351621</v>
      </c>
      <c r="AT353" t="str">
        <f t="shared" si="328"/>
        <v>0,031606975571337i</v>
      </c>
      <c r="AU353">
        <f t="shared" si="352"/>
        <v>0.031606975571337</v>
      </c>
      <c r="AV353">
        <f t="shared" si="353"/>
        <v>1.5707963267949</v>
      </c>
      <c r="AW353" t="str">
        <f t="shared" si="329"/>
        <v>1+1,6182191763157i</v>
      </c>
      <c r="AX353">
        <f t="shared" si="354"/>
        <v>1.90227056503429</v>
      </c>
      <c r="AY353">
        <f t="shared" si="355"/>
        <v>1.01727314824346</v>
      </c>
      <c r="AZ353" t="str">
        <f t="shared" si="330"/>
        <v>1+77,3646487059869i</v>
      </c>
      <c r="BA353">
        <f t="shared" si="356"/>
        <v>77.3711113362136</v>
      </c>
      <c r="BB353">
        <f t="shared" si="357"/>
        <v>1.5578712462807</v>
      </c>
      <c r="BC353" s="30" t="str">
        <f t="shared" si="358"/>
        <v>-0,133444794712991+0,22231798241981i</v>
      </c>
      <c r="BD353" s="32">
        <f t="shared" si="359"/>
        <v>-11.7241881100354</v>
      </c>
      <c r="BE353" s="31">
        <f t="shared" si="360"/>
        <v>120.973989430333</v>
      </c>
      <c r="BF353" s="30" t="str">
        <f t="shared" si="361"/>
        <v>0,697809375816902-0,09722860379496i</v>
      </c>
      <c r="BG353" s="68">
        <f t="shared" si="362"/>
        <v>-3.04175815692379</v>
      </c>
      <c r="BH353" s="31">
        <f t="shared" si="363"/>
        <v>-7.93218412206834</v>
      </c>
      <c r="BI353" s="30" t="str">
        <f t="shared" si="316"/>
        <v>0,613248439410488+1,24411498781531i</v>
      </c>
      <c r="BJ353" s="68">
        <f t="shared" si="364"/>
        <v>2.84181535559513</v>
      </c>
      <c r="BK353" s="31">
        <f t="shared" si="317"/>
        <v>63.7604169693048</v>
      </c>
      <c r="BL353" s="32">
        <f t="shared" si="365"/>
        <v>-3.04175815692379</v>
      </c>
      <c r="BM353" s="31">
        <f t="shared" si="366"/>
        <v>-7.93218412206834</v>
      </c>
      <c r="BO353">
        <f t="shared" si="367"/>
        <v>0</v>
      </c>
      <c r="BP353">
        <f t="shared" si="368"/>
        <v>0</v>
      </c>
    </row>
    <row r="354" spans="14:68">
      <c r="N354" s="7">
        <v>36</v>
      </c>
      <c r="O354" s="18">
        <f t="shared" si="318"/>
        <v>22908.6765276778</v>
      </c>
      <c r="P354" s="86" t="str">
        <f t="shared" si="319"/>
        <v>54,5454545454545</v>
      </c>
      <c r="Q354" s="4" t="str">
        <f t="shared" si="320"/>
        <v>1+293,113081704566i</v>
      </c>
      <c r="R354" s="4">
        <f t="shared" si="331"/>
        <v>293.11478752589</v>
      </c>
      <c r="S354" s="4">
        <f t="shared" si="332"/>
        <v>1.56738468745618</v>
      </c>
      <c r="T354" s="4" t="str">
        <f t="shared" si="321"/>
        <v>1+2,25697072912516i</v>
      </c>
      <c r="U354" s="4">
        <f t="shared" si="333"/>
        <v>2.46858600662966</v>
      </c>
      <c r="V354" s="4">
        <f t="shared" si="334"/>
        <v>1.15371884073141</v>
      </c>
      <c r="W354" t="str">
        <f t="shared" si="322"/>
        <v>1-6,47727568945358i</v>
      </c>
      <c r="X354" s="4">
        <f t="shared" si="335"/>
        <v>6.55401406446358</v>
      </c>
      <c r="Y354" s="4">
        <f t="shared" si="336"/>
        <v>-1.41761978030063</v>
      </c>
      <c r="Z354" t="str">
        <f t="shared" si="323"/>
        <v>0,995715857467349+0,447240464271795i</v>
      </c>
      <c r="AA354" s="4">
        <f t="shared" si="337"/>
        <v>1.09154665575686</v>
      </c>
      <c r="AB354" s="4">
        <f t="shared" si="338"/>
        <v>0.422159114542588</v>
      </c>
      <c r="AC354" s="67" t="str">
        <f t="shared" si="339"/>
        <v>-1,74004458522423-2,14014175877091i</v>
      </c>
      <c r="AD354" s="68">
        <f t="shared" si="340"/>
        <v>8.81268329380572</v>
      </c>
      <c r="AE354" s="31">
        <f t="shared" si="341"/>
        <v>-129.112873057794</v>
      </c>
      <c r="AF354" s="32" t="str">
        <f t="shared" si="342"/>
        <v>432,040091031901</v>
      </c>
      <c r="AG354" s="32" t="str">
        <f t="shared" si="324"/>
        <v>1+238,832881388905i</v>
      </c>
      <c r="AH354" s="32">
        <f t="shared" si="343"/>
        <v>238.83497489381</v>
      </c>
      <c r="AI354" s="32">
        <f t="shared" si="344"/>
        <v>1.56660932310214</v>
      </c>
      <c r="AJ354" s="32" t="str">
        <f t="shared" si="325"/>
        <v>1+2,25697072912516i</v>
      </c>
      <c r="AK354" s="32">
        <f t="shared" si="345"/>
        <v>2.46858600662966</v>
      </c>
      <c r="AL354" s="32">
        <f t="shared" si="346"/>
        <v>1.15371884073141</v>
      </c>
      <c r="AM354" s="32" t="str">
        <f t="shared" si="326"/>
        <v>1-0,666310225007136i</v>
      </c>
      <c r="AN354" s="32">
        <f t="shared" si="347"/>
        <v>1.201652743495</v>
      </c>
      <c r="AO354" s="32">
        <f t="shared" si="348"/>
        <v>-0.587755795647079</v>
      </c>
      <c r="AP354" s="30" t="str">
        <f t="shared" si="349"/>
        <v>2,89636141874184-4,51723418176927i</v>
      </c>
      <c r="AQ354" s="32">
        <f t="shared" si="350"/>
        <v>14.5930673811694</v>
      </c>
      <c r="AR354" s="31">
        <f t="shared" si="351"/>
        <v>-57.3328085158949</v>
      </c>
      <c r="AS354" t="str">
        <f t="shared" si="327"/>
        <v>-0,000201496259351621</v>
      </c>
      <c r="AT354" t="str">
        <f t="shared" si="328"/>
        <v>0,0323431966093382i</v>
      </c>
      <c r="AU354">
        <f t="shared" si="352"/>
        <v>0.0323431966093382</v>
      </c>
      <c r="AV354">
        <f t="shared" si="353"/>
        <v>1.5707963267949</v>
      </c>
      <c r="AW354" t="str">
        <f t="shared" si="329"/>
        <v>1+1,6559123430982i</v>
      </c>
      <c r="AX354">
        <f t="shared" si="354"/>
        <v>1.93443678832496</v>
      </c>
      <c r="AY354">
        <f t="shared" si="355"/>
        <v>1.0275165307491</v>
      </c>
      <c r="AZ354" t="str">
        <f t="shared" si="330"/>
        <v>1+79,1667028710992i</v>
      </c>
      <c r="BA354">
        <f t="shared" si="356"/>
        <v>79.1730184057732</v>
      </c>
      <c r="BB354">
        <f t="shared" si="357"/>
        <v>1.55816542537701</v>
      </c>
      <c r="BC354" s="30" t="str">
        <f t="shared" si="358"/>
        <v>-0,129043795416983+0,219915156261365i</v>
      </c>
      <c r="BD354" s="32">
        <f t="shared" si="359"/>
        <v>-11.8698658615886</v>
      </c>
      <c r="BE354" s="31">
        <f t="shared" si="360"/>
        <v>120.403942065461</v>
      </c>
      <c r="BF354" s="30" t="str">
        <f t="shared" si="361"/>
        <v>0,695191566773682-0,106490161579153i</v>
      </c>
      <c r="BG354" s="68">
        <f t="shared" si="362"/>
        <v>-3.05718256778284</v>
      </c>
      <c r="BH354" s="31">
        <f t="shared" si="363"/>
        <v>-8.70893099233257</v>
      </c>
      <c r="BI354" s="30" t="str">
        <f t="shared" si="316"/>
        <v>0,619650790579204+1,21987481759484i</v>
      </c>
      <c r="BJ354" s="68">
        <f t="shared" si="364"/>
        <v>2.72320151958089</v>
      </c>
      <c r="BK354" s="31">
        <f t="shared" si="317"/>
        <v>63.0711335495667</v>
      </c>
      <c r="BL354" s="32">
        <f t="shared" si="365"/>
        <v>-3.05718256778284</v>
      </c>
      <c r="BM354" s="31">
        <f t="shared" si="366"/>
        <v>-8.70893099233257</v>
      </c>
      <c r="BO354">
        <f t="shared" si="367"/>
        <v>0</v>
      </c>
      <c r="BP354">
        <f t="shared" si="368"/>
        <v>0</v>
      </c>
    </row>
    <row r="355" spans="14:68">
      <c r="N355" s="7">
        <v>37</v>
      </c>
      <c r="O355" s="18">
        <f t="shared" si="318"/>
        <v>23442.2881531992</v>
      </c>
      <c r="P355" s="86" t="str">
        <f t="shared" si="319"/>
        <v>54,5454545454545</v>
      </c>
      <c r="Q355" s="4" t="str">
        <f t="shared" si="320"/>
        <v>1+299,940562454096i</v>
      </c>
      <c r="R355" s="4">
        <f t="shared" si="331"/>
        <v>299.942229446404</v>
      </c>
      <c r="S355" s="4">
        <f t="shared" si="332"/>
        <v>1.56746234526645</v>
      </c>
      <c r="T355" s="4" t="str">
        <f t="shared" si="321"/>
        <v>1+2,30954233089655i</v>
      </c>
      <c r="U355" s="4">
        <f t="shared" si="333"/>
        <v>2.51674110273645</v>
      </c>
      <c r="V355" s="4">
        <f t="shared" si="334"/>
        <v>1.16218077383353</v>
      </c>
      <c r="W355" t="str">
        <f t="shared" si="322"/>
        <v>1-6,6281508220883i</v>
      </c>
      <c r="X355" s="4">
        <f t="shared" si="335"/>
        <v>6.70316218812806</v>
      </c>
      <c r="Y355" s="4">
        <f t="shared" si="336"/>
        <v>-1.42105402646571</v>
      </c>
      <c r="Z355" t="str">
        <f t="shared" si="323"/>
        <v>0,995513952050142+0,457658032953716i</v>
      </c>
      <c r="AA355" s="4">
        <f t="shared" si="337"/>
        <v>1.09567280875887</v>
      </c>
      <c r="AB355" s="4">
        <f t="shared" si="338"/>
        <v>0.430907914412592</v>
      </c>
      <c r="AC355" s="67" t="str">
        <f t="shared" si="339"/>
        <v>-1,77462185800056-2,16580891299066i</v>
      </c>
      <c r="AD355" s="68">
        <f t="shared" si="340"/>
        <v>8.94316671276997</v>
      </c>
      <c r="AE355" s="31">
        <f t="shared" si="341"/>
        <v>-129.330526588719</v>
      </c>
      <c r="AF355" s="32" t="str">
        <f t="shared" si="342"/>
        <v>432,040091031901</v>
      </c>
      <c r="AG355" s="32" t="str">
        <f t="shared" si="324"/>
        <v>1+244,396013851486i</v>
      </c>
      <c r="AH355" s="32">
        <f t="shared" si="343"/>
        <v>244.398059702805</v>
      </c>
      <c r="AI355" s="32">
        <f t="shared" si="344"/>
        <v>1.56670462986591</v>
      </c>
      <c r="AJ355" s="32" t="str">
        <f t="shared" si="325"/>
        <v>1+2,30954233089655i</v>
      </c>
      <c r="AK355" s="32">
        <f t="shared" si="345"/>
        <v>2.51674110273645</v>
      </c>
      <c r="AL355" s="32">
        <f t="shared" si="346"/>
        <v>1.16218077383353</v>
      </c>
      <c r="AM355" s="32" t="str">
        <f t="shared" si="326"/>
        <v>1-0,681830583934811i</v>
      </c>
      <c r="AN355" s="32">
        <f t="shared" si="347"/>
        <v>1.21032761894823</v>
      </c>
      <c r="AO355" s="32">
        <f t="shared" si="348"/>
        <v>-0.598427359754699</v>
      </c>
      <c r="AP355" s="30" t="str">
        <f t="shared" si="349"/>
        <v>2,89602281533455-4,5397007596782i</v>
      </c>
      <c r="AQ355" s="32">
        <f t="shared" si="350"/>
        <v>14.6233556184759</v>
      </c>
      <c r="AR355" s="31">
        <f t="shared" si="351"/>
        <v>-57.4648717221141</v>
      </c>
      <c r="AS355" t="str">
        <f t="shared" si="327"/>
        <v>-0,000201496259351621</v>
      </c>
      <c r="AT355" t="str">
        <f t="shared" si="328"/>
        <v>0,0330965664382943i</v>
      </c>
      <c r="AU355">
        <f t="shared" si="352"/>
        <v>0.0330965664382943</v>
      </c>
      <c r="AV355">
        <f t="shared" si="353"/>
        <v>1.5707963267949</v>
      </c>
      <c r="AW355" t="str">
        <f t="shared" si="329"/>
        <v>1+1,69448349652359i</v>
      </c>
      <c r="AX355">
        <f t="shared" si="354"/>
        <v>1.96755541726042</v>
      </c>
      <c r="AY355">
        <f t="shared" si="355"/>
        <v>1.03765070911454</v>
      </c>
      <c r="AZ355" t="str">
        <f t="shared" si="330"/>
        <v>1+81,010732269968i</v>
      </c>
      <c r="BA355">
        <f t="shared" si="356"/>
        <v>81.0169040566007</v>
      </c>
      <c r="BB355">
        <f t="shared" si="357"/>
        <v>1.55845291025216</v>
      </c>
      <c r="BC355" s="30" t="str">
        <f t="shared" si="358"/>
        <v>-0,124736130351941+0,217451446124176i</v>
      </c>
      <c r="BD355" s="32">
        <f t="shared" si="359"/>
        <v>-12.017345654667</v>
      </c>
      <c r="BE355" s="31">
        <f t="shared" si="360"/>
        <v>119.839768086309</v>
      </c>
      <c r="BF355" s="30" t="str">
        <f t="shared" si="361"/>
        <v>0,69231774356341-0,115739466457595i</v>
      </c>
      <c r="BG355" s="68">
        <f t="shared" si="362"/>
        <v>-3.07417894189704</v>
      </c>
      <c r="BH355" s="31">
        <f t="shared" si="363"/>
        <v>-9.49075850241074</v>
      </c>
      <c r="BI355" s="30" t="str">
        <f t="shared" si="316"/>
        <v>0,625925815767279+1,19600905492113i</v>
      </c>
      <c r="BJ355" s="68">
        <f t="shared" si="364"/>
        <v>2.60600996380887</v>
      </c>
      <c r="BK355" s="31">
        <f t="shared" si="317"/>
        <v>62.3748963641946</v>
      </c>
      <c r="BL355" s="32">
        <f t="shared" si="365"/>
        <v>-3.07417894189704</v>
      </c>
      <c r="BM355" s="31">
        <f t="shared" si="366"/>
        <v>-9.49075850241074</v>
      </c>
      <c r="BO355">
        <f t="shared" si="367"/>
        <v>0</v>
      </c>
      <c r="BP355">
        <f t="shared" si="368"/>
        <v>0</v>
      </c>
    </row>
    <row r="356" spans="14:68">
      <c r="N356" s="7">
        <v>38</v>
      </c>
      <c r="O356" s="18">
        <f t="shared" si="318"/>
        <v>23988.3291901949</v>
      </c>
      <c r="P356" s="86" t="str">
        <f t="shared" si="319"/>
        <v>54,5454545454545</v>
      </c>
      <c r="Q356" s="4" t="str">
        <f t="shared" si="320"/>
        <v>1+306,927075660026i</v>
      </c>
      <c r="R356" s="4">
        <f t="shared" si="331"/>
        <v>306.92870470716</v>
      </c>
      <c r="S356" s="4">
        <f t="shared" si="332"/>
        <v>1.56753823540801</v>
      </c>
      <c r="T356" s="4" t="str">
        <f t="shared" si="321"/>
        <v>1+2,3633384825822i</v>
      </c>
      <c r="U356" s="4">
        <f t="shared" si="333"/>
        <v>2.56619733910974</v>
      </c>
      <c r="V356" s="4">
        <f t="shared" si="334"/>
        <v>1.17051044082647</v>
      </c>
      <c r="W356" t="str">
        <f t="shared" si="322"/>
        <v>1-6,78254028802291i</v>
      </c>
      <c r="X356" s="4">
        <f t="shared" si="335"/>
        <v>6.8558626560524</v>
      </c>
      <c r="Y356" s="4">
        <f t="shared" si="336"/>
        <v>-1.42441354193715</v>
      </c>
      <c r="Z356" t="str">
        <f t="shared" si="323"/>
        <v>0,995302531123778+0,468318257982534i</v>
      </c>
      <c r="AA356" s="4">
        <f t="shared" si="337"/>
        <v>1.09997687213013</v>
      </c>
      <c r="AB356" s="4">
        <f t="shared" si="338"/>
        <v>0.439793718516196</v>
      </c>
      <c r="AC356" s="67" t="str">
        <f t="shared" si="339"/>
        <v>-1,81027351764771-2,1914182259213i</v>
      </c>
      <c r="AD356" s="68">
        <f t="shared" si="340"/>
        <v>9.07379327666066</v>
      </c>
      <c r="AE356" s="31">
        <f t="shared" si="341"/>
        <v>-129.559225140531</v>
      </c>
      <c r="AF356" s="32" t="str">
        <f t="shared" si="342"/>
        <v>432,040091031901</v>
      </c>
      <c r="AG356" s="32" t="str">
        <f t="shared" si="324"/>
        <v>1+250,088728315577i</v>
      </c>
      <c r="AH356" s="32">
        <f t="shared" si="343"/>
        <v>250.090727598011</v>
      </c>
      <c r="AI356" s="32">
        <f t="shared" si="344"/>
        <v>1.5667977672547</v>
      </c>
      <c r="AJ356" s="32" t="str">
        <f t="shared" si="325"/>
        <v>1+2,3633384825822i</v>
      </c>
      <c r="AK356" s="32">
        <f t="shared" si="345"/>
        <v>2.56619733910974</v>
      </c>
      <c r="AL356" s="32">
        <f t="shared" si="346"/>
        <v>1.17051044082647</v>
      </c>
      <c r="AM356" s="32" t="str">
        <f t="shared" si="326"/>
        <v>1-0,697712458463189i</v>
      </c>
      <c r="AN356" s="32">
        <f t="shared" si="347"/>
        <v>1.21934518274964</v>
      </c>
      <c r="AO356" s="32">
        <f t="shared" si="348"/>
        <v>-0.609189051125635</v>
      </c>
      <c r="AP356" s="30" t="str">
        <f t="shared" si="349"/>
        <v>2,89569945109218-4,56457422227604i</v>
      </c>
      <c r="AQ356" s="32">
        <f t="shared" si="350"/>
        <v>14.6568635204667</v>
      </c>
      <c r="AR356" s="31">
        <f t="shared" si="351"/>
        <v>-57.6095528339394</v>
      </c>
      <c r="AS356" t="str">
        <f t="shared" si="327"/>
        <v>-0,000201496259351621</v>
      </c>
      <c r="AT356" t="str">
        <f t="shared" si="328"/>
        <v>0,033867484504861i</v>
      </c>
      <c r="AU356">
        <f t="shared" si="352"/>
        <v>0.033867484504861</v>
      </c>
      <c r="AV356">
        <f t="shared" si="353"/>
        <v>1.5707963267949</v>
      </c>
      <c r="AW356" t="str">
        <f t="shared" si="329"/>
        <v>1+1,73395308752798i</v>
      </c>
      <c r="AX356">
        <f t="shared" si="354"/>
        <v>2.00164764875035</v>
      </c>
      <c r="AY356">
        <f t="shared" si="355"/>
        <v>1.0476727297406</v>
      </c>
      <c r="AZ356" t="str">
        <f t="shared" si="330"/>
        <v>1+82,8977146313909i</v>
      </c>
      <c r="BA356">
        <f t="shared" si="356"/>
        <v>82.9037459413477</v>
      </c>
      <c r="BB356">
        <f t="shared" si="357"/>
        <v>1.55873385314426</v>
      </c>
      <c r="BC356" s="30" t="str">
        <f t="shared" si="358"/>
        <v>-0,120523282717929+0,214931267210885i</v>
      </c>
      <c r="BD356" s="32">
        <f t="shared" si="359"/>
        <v>-12.1665885824127</v>
      </c>
      <c r="BE356" s="31">
        <f t="shared" si="360"/>
        <v>119.281645444244</v>
      </c>
      <c r="BF356" s="30" t="str">
        <f t="shared" si="361"/>
        <v>0,689184403250529-0,124967462750393i</v>
      </c>
      <c r="BG356" s="68">
        <f t="shared" si="362"/>
        <v>-3.092795305752</v>
      </c>
      <c r="BH356" s="31">
        <f t="shared" si="363"/>
        <v>-10.2775796962872</v>
      </c>
      <c r="BI356" s="30" t="str">
        <f t="shared" si="316"/>
        <v>0,632070518261795+1,17251382196345i</v>
      </c>
      <c r="BJ356" s="68">
        <f t="shared" si="364"/>
        <v>2.49027493805398</v>
      </c>
      <c r="BK356" s="31">
        <f t="shared" si="317"/>
        <v>61.6720926103047</v>
      </c>
      <c r="BL356" s="32">
        <f t="shared" si="365"/>
        <v>-3.092795305752</v>
      </c>
      <c r="BM356" s="31">
        <f t="shared" si="366"/>
        <v>-10.2775796962872</v>
      </c>
      <c r="BO356">
        <f t="shared" si="367"/>
        <v>0</v>
      </c>
      <c r="BP356">
        <f t="shared" si="368"/>
        <v>0</v>
      </c>
    </row>
    <row r="357" spans="14:68">
      <c r="N357" s="7">
        <v>39</v>
      </c>
      <c r="O357" s="18">
        <f t="shared" si="318"/>
        <v>24547.0891568503</v>
      </c>
      <c r="P357" s="86" t="str">
        <f t="shared" si="319"/>
        <v>54,5454545454545</v>
      </c>
      <c r="Q357" s="4" t="str">
        <f t="shared" si="320"/>
        <v>1+314,076325664129i</v>
      </c>
      <c r="R357" s="4">
        <f t="shared" si="331"/>
        <v>314.077917629814</v>
      </c>
      <c r="S357" s="4">
        <f t="shared" si="332"/>
        <v>1.5676123981153</v>
      </c>
      <c r="T357" s="4" t="str">
        <f t="shared" si="321"/>
        <v>1+2,41838770761379i</v>
      </c>
      <c r="U357" s="4">
        <f t="shared" si="333"/>
        <v>2.61698282461645</v>
      </c>
      <c r="V357" s="4">
        <f t="shared" si="334"/>
        <v>1.17870763363677</v>
      </c>
      <c r="W357" t="str">
        <f t="shared" si="322"/>
        <v>1-6,94052594659571i</v>
      </c>
      <c r="X357" s="4">
        <f t="shared" si="335"/>
        <v>7.01219654711477</v>
      </c>
      <c r="Y357" s="4">
        <f t="shared" si="336"/>
        <v>-1.42769980448419</v>
      </c>
      <c r="Z357" t="str">
        <f t="shared" si="323"/>
        <v>0,995081146236128+0,479226791550656i</v>
      </c>
      <c r="AA357" s="4">
        <f t="shared" si="337"/>
        <v>1.10446584616028</v>
      </c>
      <c r="AB357" s="4">
        <f t="shared" si="338"/>
        <v>0.44881605506853</v>
      </c>
      <c r="AC357" s="67" t="str">
        <f t="shared" si="339"/>
        <v>-1,84701109466983-2,21692705365925i</v>
      </c>
      <c r="AD357" s="68">
        <f t="shared" si="340"/>
        <v>9.20447649503803</v>
      </c>
      <c r="AE357" s="31">
        <f t="shared" si="341"/>
        <v>-129.799040578884</v>
      </c>
      <c r="AF357" s="32" t="str">
        <f t="shared" si="342"/>
        <v>432,040091031901</v>
      </c>
      <c r="AG357" s="32" t="str">
        <f t="shared" si="324"/>
        <v>1+255,914043133734i</v>
      </c>
      <c r="AH357" s="32">
        <f t="shared" si="343"/>
        <v>255.915996907295</v>
      </c>
      <c r="AI357" s="32">
        <f t="shared" si="344"/>
        <v>1.56688878464472</v>
      </c>
      <c r="AJ357" s="32" t="str">
        <f t="shared" si="325"/>
        <v>1+2,41838770761379i</v>
      </c>
      <c r="AK357" s="32">
        <f t="shared" si="345"/>
        <v>2.61698282461645</v>
      </c>
      <c r="AL357" s="32">
        <f t="shared" si="346"/>
        <v>1.17870763363677</v>
      </c>
      <c r="AM357" s="32" t="str">
        <f t="shared" si="326"/>
        <v>1-0,713964269372356i</v>
      </c>
      <c r="AN357" s="32">
        <f t="shared" si="347"/>
        <v>1.22871680135839</v>
      </c>
      <c r="AO357" s="32">
        <f t="shared" si="348"/>
        <v>-0.620036604961877</v>
      </c>
      <c r="AP357" s="30" t="str">
        <f t="shared" si="349"/>
        <v>2,89539064018324-4,59186776612774i</v>
      </c>
      <c r="AQ357" s="32">
        <f t="shared" si="350"/>
        <v>14.6935856856085</v>
      </c>
      <c r="AR357" s="31">
        <f t="shared" si="351"/>
        <v>-57.7666222472221</v>
      </c>
      <c r="AS357" t="str">
        <f t="shared" si="327"/>
        <v>-0,000201496259351621</v>
      </c>
      <c r="AT357" t="str">
        <f t="shared" si="328"/>
        <v>0,0346563595600013i</v>
      </c>
      <c r="AU357">
        <f t="shared" si="352"/>
        <v>0.0346563595600013</v>
      </c>
      <c r="AV357">
        <f t="shared" si="353"/>
        <v>1.5707963267949</v>
      </c>
      <c r="AW357" t="str">
        <f t="shared" si="329"/>
        <v>1+1,77434204341096i</v>
      </c>
      <c r="AX357">
        <f t="shared" si="354"/>
        <v>2.03673505567508</v>
      </c>
      <c r="AY357">
        <f t="shared" si="355"/>
        <v>1.05757985288853</v>
      </c>
      <c r="AZ357" t="str">
        <f t="shared" si="330"/>
        <v>1+84,8286504583919i</v>
      </c>
      <c r="BA357">
        <f t="shared" si="356"/>
        <v>84.8345444886223</v>
      </c>
      <c r="BB357">
        <f t="shared" si="357"/>
        <v>1.55900840283544</v>
      </c>
      <c r="BC357" s="30" t="str">
        <f t="shared" si="358"/>
        <v>-0,116406474629278+0,212359022813278i</v>
      </c>
      <c r="BD357" s="32">
        <f t="shared" si="359"/>
        <v>-12.3175551749831</v>
      </c>
      <c r="BE357" s="31">
        <f t="shared" si="360"/>
        <v>118.729739639323</v>
      </c>
      <c r="BF357" s="30" t="str">
        <f t="shared" si="361"/>
        <v>0,685788512895076-0,134164808362623i</v>
      </c>
      <c r="BG357" s="68">
        <f t="shared" si="362"/>
        <v>-3.11307867994507</v>
      </c>
      <c r="BH357" s="31">
        <f t="shared" si="363"/>
        <v>-11.0693009395613</v>
      </c>
      <c r="BI357" s="30" t="str">
        <f t="shared" si="316"/>
        <v>0,638082334604337+1,14938546563077i</v>
      </c>
      <c r="BJ357" s="68">
        <f t="shared" si="364"/>
        <v>2.37603051062542</v>
      </c>
      <c r="BK357" s="31">
        <f t="shared" si="317"/>
        <v>60.9631173921004</v>
      </c>
      <c r="BL357" s="32">
        <f t="shared" si="365"/>
        <v>-3.11307867994507</v>
      </c>
      <c r="BM357" s="31">
        <f t="shared" si="366"/>
        <v>-11.0693009395613</v>
      </c>
      <c r="BO357">
        <f t="shared" si="367"/>
        <v>0</v>
      </c>
      <c r="BP357">
        <f t="shared" si="368"/>
        <v>0</v>
      </c>
    </row>
    <row r="358" spans="14:68">
      <c r="N358" s="7">
        <v>40</v>
      </c>
      <c r="O358" s="18">
        <f t="shared" si="318"/>
        <v>25118.8643150959</v>
      </c>
      <c r="P358" s="86" t="str">
        <f t="shared" si="319"/>
        <v>54,5454545454545</v>
      </c>
      <c r="Q358" s="4" t="str">
        <f t="shared" si="320"/>
        <v>1+321,392103093392i</v>
      </c>
      <c r="R358" s="4">
        <f t="shared" si="331"/>
        <v>321.393658821691</v>
      </c>
      <c r="S358" s="4">
        <f t="shared" si="332"/>
        <v>1.56768487270712</v>
      </c>
      <c r="T358" s="4" t="str">
        <f t="shared" si="321"/>
        <v>1+2,47471919381912i</v>
      </c>
      <c r="U358" s="4">
        <f t="shared" si="333"/>
        <v>2.66912627806493</v>
      </c>
      <c r="V358" s="4">
        <f t="shared" si="334"/>
        <v>1.18677229105891</v>
      </c>
      <c r="W358" t="str">
        <f t="shared" si="322"/>
        <v>1-7,10219156389417i</v>
      </c>
      <c r="X358" s="4">
        <f t="shared" si="335"/>
        <v>7.1722468592659</v>
      </c>
      <c r="Y358" s="4">
        <f t="shared" si="336"/>
        <v>-1.43091427245847</v>
      </c>
      <c r="Z358" t="str">
        <f t="shared" si="323"/>
        <v>0,994849327800162+0,490389417506978i</v>
      </c>
      <c r="AA358" s="4">
        <f t="shared" si="337"/>
        <v>1.10914695411711</v>
      </c>
      <c r="AB358" s="4">
        <f t="shared" si="338"/>
        <v>0.457974285549911</v>
      </c>
      <c r="AC358" s="67" t="str">
        <f t="shared" si="339"/>
        <v>-1,88484445079488-2,2422912829742i</v>
      </c>
      <c r="AD358" s="68">
        <f t="shared" si="340"/>
        <v>9.33513041122174</v>
      </c>
      <c r="AE358" s="31">
        <f t="shared" si="341"/>
        <v>-130.050025636307</v>
      </c>
      <c r="AF358" s="32" t="str">
        <f t="shared" si="342"/>
        <v>432,040091031901</v>
      </c>
      <c r="AG358" s="32" t="str">
        <f t="shared" si="324"/>
        <v>1+261,875046964986i</v>
      </c>
      <c r="AH358" s="32">
        <f t="shared" si="343"/>
        <v>261.876956265559</v>
      </c>
      <c r="AI358" s="32">
        <f t="shared" si="344"/>
        <v>1.56697773028857</v>
      </c>
      <c r="AJ358" s="32" t="str">
        <f t="shared" si="325"/>
        <v>1+2,47471919381912i</v>
      </c>
      <c r="AK358" s="32">
        <f t="shared" si="345"/>
        <v>2.66912627806493</v>
      </c>
      <c r="AL358" s="32">
        <f t="shared" si="346"/>
        <v>1.18677229105891</v>
      </c>
      <c r="AM358" s="32" t="str">
        <f t="shared" si="326"/>
        <v>1-0,730594633587584i</v>
      </c>
      <c r="AN358" s="32">
        <f t="shared" si="347"/>
        <v>1.23845408418196</v>
      </c>
      <c r="AO358" s="32">
        <f t="shared" si="348"/>
        <v>-0.630965561519655</v>
      </c>
      <c r="AP358" s="30" t="str">
        <f t="shared" si="349"/>
        <v>2,89509572763982-4,62159587040166i</v>
      </c>
      <c r="AQ358" s="32">
        <f t="shared" si="350"/>
        <v>14.7335159012788</v>
      </c>
      <c r="AR358" s="31">
        <f t="shared" si="351"/>
        <v>-57.9358307089552</v>
      </c>
      <c r="AS358" t="str">
        <f t="shared" si="327"/>
        <v>-0,000201496259351621</v>
      </c>
      <c r="AT358" t="str">
        <f t="shared" si="328"/>
        <v>0,0354636098757116i</v>
      </c>
      <c r="AU358">
        <f t="shared" si="352"/>
        <v>0.0354636098757116</v>
      </c>
      <c r="AV358">
        <f t="shared" si="353"/>
        <v>1.5707963267949</v>
      </c>
      <c r="AW358" t="str">
        <f t="shared" si="329"/>
        <v>1+1,81567177893155i</v>
      </c>
      <c r="AX358">
        <f t="shared" si="354"/>
        <v>2.07283960035707</v>
      </c>
      <c r="AY358">
        <f t="shared" si="355"/>
        <v>1.06736955163668</v>
      </c>
      <c r="AZ358" t="str">
        <f t="shared" si="330"/>
        <v>1+86,8045635587063i</v>
      </c>
      <c r="BA358">
        <f t="shared" si="356"/>
        <v>86.8103234334344</v>
      </c>
      <c r="BB358">
        <f t="shared" si="357"/>
        <v>1.55927670472992</v>
      </c>
      <c r="BC358" s="30" t="str">
        <f t="shared" si="358"/>
        <v>-0,112386674223663+0,209739087923137i</v>
      </c>
      <c r="BD358" s="32">
        <f t="shared" si="359"/>
        <v>-12.4702055063862</v>
      </c>
      <c r="BE358" s="31">
        <f t="shared" si="360"/>
        <v>118.184203784538</v>
      </c>
      <c r="BF358" s="30" t="str">
        <f t="shared" si="361"/>
        <v>0,682127527802773-0,143321896052523i</v>
      </c>
      <c r="BG358" s="68">
        <f t="shared" si="362"/>
        <v>-3.13507509516442</v>
      </c>
      <c r="BH358" s="31">
        <f t="shared" si="363"/>
        <v>-11.8658218517688</v>
      </c>
      <c r="BI358" s="30" t="str">
        <f t="shared" si="316"/>
        <v>0,643959122218806+1,1266205268456i</v>
      </c>
      <c r="BJ358" s="68">
        <f t="shared" si="364"/>
        <v>2.26331039489258</v>
      </c>
      <c r="BK358" s="31">
        <f t="shared" si="317"/>
        <v>60.2483730755828</v>
      </c>
      <c r="BL358" s="32">
        <f t="shared" si="365"/>
        <v>-3.13507509516442</v>
      </c>
      <c r="BM358" s="31">
        <f t="shared" si="366"/>
        <v>-11.8658218517688</v>
      </c>
      <c r="BO358">
        <f t="shared" si="367"/>
        <v>0</v>
      </c>
      <c r="BP358">
        <f t="shared" si="368"/>
        <v>0</v>
      </c>
    </row>
    <row r="359" spans="14:68">
      <c r="N359" s="7">
        <v>41</v>
      </c>
      <c r="O359" s="18">
        <f t="shared" si="318"/>
        <v>25703.9578276886</v>
      </c>
      <c r="P359" s="86" t="str">
        <f t="shared" si="319"/>
        <v>54,5454545454545</v>
      </c>
      <c r="Q359" s="4" t="str">
        <f t="shared" si="320"/>
        <v>1+328,878286869841i</v>
      </c>
      <c r="R359" s="4">
        <f t="shared" si="331"/>
        <v>328.879807185606</v>
      </c>
      <c r="S359" s="4">
        <f t="shared" si="332"/>
        <v>1.5677556976074</v>
      </c>
      <c r="T359" s="4" t="str">
        <f t="shared" si="321"/>
        <v>1+2,53236280889778i</v>
      </c>
      <c r="U359" s="4">
        <f t="shared" si="333"/>
        <v>2.72265704705691</v>
      </c>
      <c r="V359" s="4">
        <f t="shared" si="334"/>
        <v>1.19470449191701</v>
      </c>
      <c r="W359" t="str">
        <f t="shared" si="322"/>
        <v>1-7,26762285716837i</v>
      </c>
      <c r="X359" s="4">
        <f t="shared" si="335"/>
        <v>7.3360985540024</v>
      </c>
      <c r="Y359" s="4">
        <f t="shared" si="336"/>
        <v>-1.43405838435879</v>
      </c>
      <c r="Z359" t="str">
        <f t="shared" si="323"/>
        <v>0,994606584097897+0,50181205442353i</v>
      </c>
      <c r="AA359" s="4">
        <f t="shared" si="337"/>
        <v>1.11402764557063</v>
      </c>
      <c r="AB359" s="4">
        <f t="shared" si="338"/>
        <v>0.467267598584903</v>
      </c>
      <c r="AC359" s="67" t="str">
        <f t="shared" si="339"/>
        <v>-1,92378164290013-2,26746538876346i</v>
      </c>
      <c r="AD359" s="68">
        <f t="shared" si="340"/>
        <v>9.46566969380303</v>
      </c>
      <c r="AE359" s="31">
        <f t="shared" si="341"/>
        <v>-130.312213929563</v>
      </c>
      <c r="AF359" s="32" t="str">
        <f t="shared" si="342"/>
        <v>432,040091031901</v>
      </c>
      <c r="AG359" s="32" t="str">
        <f t="shared" si="324"/>
        <v>1+267,974900412463i</v>
      </c>
      <c r="AH359" s="32">
        <f t="shared" si="343"/>
        <v>267.976766252355</v>
      </c>
      <c r="AI359" s="32">
        <f t="shared" si="344"/>
        <v>1.56706465134076</v>
      </c>
      <c r="AJ359" s="32" t="str">
        <f t="shared" si="325"/>
        <v>1+2,53236280889778i</v>
      </c>
      <c r="AK359" s="32">
        <f t="shared" si="345"/>
        <v>2.72265704705691</v>
      </c>
      <c r="AL359" s="32">
        <f t="shared" si="346"/>
        <v>1.19470449191701</v>
      </c>
      <c r="AM359" s="32" t="str">
        <f t="shared" si="326"/>
        <v>1-0,747612368748098i</v>
      </c>
      <c r="AN359" s="32">
        <f t="shared" si="347"/>
        <v>1.24856888232293</v>
      </c>
      <c r="AO359" s="32">
        <f t="shared" si="348"/>
        <v>-0.641971272695627</v>
      </c>
      <c r="AP359" s="30" t="str">
        <f t="shared" si="349"/>
        <v>2,89481408796896-4,65377430458383i</v>
      </c>
      <c r="AQ359" s="32">
        <f t="shared" si="350"/>
        <v>14.7766470744178</v>
      </c>
      <c r="AR359" s="31">
        <f t="shared" si="351"/>
        <v>-58.1169100879007</v>
      </c>
      <c r="AS359" t="str">
        <f t="shared" si="327"/>
        <v>-0,000201496259351621</v>
      </c>
      <c r="AT359" t="str">
        <f t="shared" si="328"/>
        <v>0,036289663466794i</v>
      </c>
      <c r="AU359">
        <f t="shared" si="352"/>
        <v>0.036289663466794</v>
      </c>
      <c r="AV359">
        <f t="shared" si="353"/>
        <v>1.5707963267949</v>
      </c>
      <c r="AW359" t="str">
        <f t="shared" si="329"/>
        <v>1+1,85796420766259i</v>
      </c>
      <c r="AX359">
        <f t="shared" si="354"/>
        <v>2.10998364850424</v>
      </c>
      <c r="AY359">
        <f t="shared" si="355"/>
        <v>1.07703951008194</v>
      </c>
      <c r="AZ359" t="str">
        <f t="shared" si="330"/>
        <v>1+88,8265015876133i</v>
      </c>
      <c r="BA359">
        <f t="shared" si="356"/>
        <v>88.8321303599901</v>
      </c>
      <c r="BB359">
        <f t="shared" si="357"/>
        <v>1.55953890093034</v>
      </c>
      <c r="BC359" s="30" t="str">
        <f t="shared" si="358"/>
        <v>-0,10846460380369+0,207075793879193i</v>
      </c>
      <c r="BD359" s="32">
        <f t="shared" si="359"/>
        <v>-12.6244992981458</v>
      </c>
      <c r="BE359" s="31">
        <f t="shared" si="360"/>
        <v>117.645178713247</v>
      </c>
      <c r="BF359" s="30" t="str">
        <f t="shared" si="361"/>
        <v>0,678199409173761-0,152428875922954i</v>
      </c>
      <c r="BG359" s="68">
        <f t="shared" si="362"/>
        <v>-3.15882960434279</v>
      </c>
      <c r="BH359" s="31">
        <f t="shared" si="363"/>
        <v>-12.6670352163162</v>
      </c>
      <c r="BI359" s="30" t="str">
        <f t="shared" si="316"/>
        <v>0,649699145519392+1,10421571153732i</v>
      </c>
      <c r="BJ359" s="68">
        <f t="shared" si="364"/>
        <v>2.15214777627195</v>
      </c>
      <c r="BK359" s="31">
        <f t="shared" si="317"/>
        <v>59.5282686253459</v>
      </c>
      <c r="BL359" s="32">
        <f t="shared" si="365"/>
        <v>-3.15882960434279</v>
      </c>
      <c r="BM359" s="31">
        <f t="shared" si="366"/>
        <v>-12.6670352163162</v>
      </c>
      <c r="BO359">
        <f t="shared" si="367"/>
        <v>0</v>
      </c>
      <c r="BP359">
        <f t="shared" si="368"/>
        <v>0</v>
      </c>
    </row>
    <row r="360" spans="14:68">
      <c r="N360" s="7">
        <v>42</v>
      </c>
      <c r="O360" s="18">
        <f t="shared" si="318"/>
        <v>26302.6799189538</v>
      </c>
      <c r="P360" s="86" t="str">
        <f t="shared" si="319"/>
        <v>54,5454545454545</v>
      </c>
      <c r="Q360" s="4" t="str">
        <f t="shared" si="320"/>
        <v>1+336,538846267207i</v>
      </c>
      <c r="R360" s="4">
        <f t="shared" si="331"/>
        <v>336.540331976515</v>
      </c>
      <c r="S360" s="4">
        <f t="shared" si="332"/>
        <v>1.56782491036561</v>
      </c>
      <c r="T360" s="4" t="str">
        <f t="shared" si="321"/>
        <v>1+2,5913491162575i</v>
      </c>
      <c r="U360" s="4">
        <f t="shared" si="333"/>
        <v>2.77760512714254</v>
      </c>
      <c r="V360" s="4">
        <f t="shared" si="334"/>
        <v>1.20250444819136</v>
      </c>
      <c r="W360" t="str">
        <f t="shared" si="322"/>
        <v>1-7,43690754027982i</v>
      </c>
      <c r="X360" s="4">
        <f t="shared" si="335"/>
        <v>7.50383860185378</v>
      </c>
      <c r="Y360" s="4">
        <f t="shared" si="336"/>
        <v>-1.43713355845693</v>
      </c>
      <c r="Z360" t="str">
        <f t="shared" si="323"/>
        <v>0,994352400237396+0,513500758733606i</v>
      </c>
      <c r="AA360" s="4">
        <f t="shared" si="337"/>
        <v>1.11911559951502</v>
      </c>
      <c r="AB360" s="4">
        <f t="shared" si="338"/>
        <v>0.476695004095795</v>
      </c>
      <c r="AC360" s="67" t="str">
        <f t="shared" si="339"/>
        <v>-1,96382878690353-2,29240250349913i</v>
      </c>
      <c r="AD360" s="68">
        <f t="shared" si="340"/>
        <v>9.59600972897445</v>
      </c>
      <c r="AE360" s="31">
        <f t="shared" si="341"/>
        <v>-130.585619998213</v>
      </c>
      <c r="AF360" s="32" t="str">
        <f t="shared" si="342"/>
        <v>432,040091031901</v>
      </c>
      <c r="AG360" s="32" t="str">
        <f t="shared" si="324"/>
        <v>1+274,216837699206i</v>
      </c>
      <c r="AH360" s="32">
        <f t="shared" si="343"/>
        <v>274.218661067683</v>
      </c>
      <c r="AI360" s="32">
        <f t="shared" si="344"/>
        <v>1.56714959388273</v>
      </c>
      <c r="AJ360" s="32" t="str">
        <f t="shared" si="325"/>
        <v>1+2,5913491162575i</v>
      </c>
      <c r="AK360" s="32">
        <f t="shared" si="345"/>
        <v>2.77760512714254</v>
      </c>
      <c r="AL360" s="32">
        <f t="shared" si="346"/>
        <v>1.20250444819136</v>
      </c>
      <c r="AM360" s="32" t="str">
        <f t="shared" si="326"/>
        <v>1-0,765026497882343i</v>
      </c>
      <c r="AN360" s="32">
        <f t="shared" si="347"/>
        <v>1.25907328716883</v>
      </c>
      <c r="AO360" s="32">
        <f t="shared" si="348"/>
        <v>-0.653048909603135</v>
      </c>
      <c r="AP360" s="30" t="str">
        <f t="shared" si="349"/>
        <v>2,89454512382627-4,68842013687348i</v>
      </c>
      <c r="AQ360" s="32">
        <f t="shared" si="350"/>
        <v>14.8229711603777</v>
      </c>
      <c r="AR360" s="31">
        <f t="shared" si="351"/>
        <v>-58.3095742039285</v>
      </c>
      <c r="AS360" t="str">
        <f t="shared" si="327"/>
        <v>-0,000201496259351621</v>
      </c>
      <c r="AT360" t="str">
        <f t="shared" si="328"/>
        <v>0,0371349583177972i</v>
      </c>
      <c r="AU360">
        <f t="shared" si="352"/>
        <v>0.0371349583177972</v>
      </c>
      <c r="AV360">
        <f t="shared" si="353"/>
        <v>1.5707963267949</v>
      </c>
      <c r="AW360" t="str">
        <f t="shared" si="329"/>
        <v>1+1,90124175360958i</v>
      </c>
      <c r="AX360">
        <f t="shared" si="354"/>
        <v>2.14818998360676</v>
      </c>
      <c r="AY360">
        <f t="shared" si="355"/>
        <v>1.08658762083661</v>
      </c>
      <c r="AZ360" t="str">
        <f t="shared" si="330"/>
        <v>1+90,8955366034198i</v>
      </c>
      <c r="BA360">
        <f t="shared" si="356"/>
        <v>90.9010372571382</v>
      </c>
      <c r="BB360">
        <f t="shared" si="357"/>
        <v>1.55979513031229</v>
      </c>
      <c r="BC360" s="30" t="str">
        <f t="shared" si="358"/>
        <v>-0,104640748882966+0,20437341410364i</v>
      </c>
      <c r="BD360" s="32">
        <f t="shared" si="359"/>
        <v>-12.7803960193983</v>
      </c>
      <c r="BE360" s="31">
        <f t="shared" si="360"/>
        <v>117.112793126853</v>
      </c>
      <c r="BF360" s="30" t="str">
        <f t="shared" si="361"/>
        <v>0,674002641079361-0,161475679187149i</v>
      </c>
      <c r="BG360" s="68">
        <f t="shared" si="362"/>
        <v>-3.18438629042382</v>
      </c>
      <c r="BH360" s="31">
        <f t="shared" si="363"/>
        <v>-13.4728268713601</v>
      </c>
      <c r="BI360" s="30" t="str">
        <f t="shared" si="316"/>
        <v>0,65530106069237+1,08216786343384i</v>
      </c>
      <c r="BJ360" s="68">
        <f t="shared" si="364"/>
        <v>2.04257514097947</v>
      </c>
      <c r="BK360" s="31">
        <f t="shared" si="317"/>
        <v>58.8032189229246</v>
      </c>
      <c r="BL360" s="32">
        <f t="shared" si="365"/>
        <v>-3.18438629042382</v>
      </c>
      <c r="BM360" s="31">
        <f t="shared" si="366"/>
        <v>-13.4728268713601</v>
      </c>
      <c r="BO360">
        <f t="shared" si="367"/>
        <v>0</v>
      </c>
      <c r="BP360">
        <f t="shared" si="368"/>
        <v>0</v>
      </c>
    </row>
    <row r="361" spans="14:68">
      <c r="N361" s="7">
        <v>43</v>
      </c>
      <c r="O361" s="18">
        <f t="shared" si="318"/>
        <v>26915.3480392692</v>
      </c>
      <c r="P361" s="86" t="str">
        <f t="shared" si="319"/>
        <v>54,5454545454545</v>
      </c>
      <c r="Q361" s="4" t="str">
        <f t="shared" si="320"/>
        <v>1+344,377843015484i</v>
      </c>
      <c r="R361" s="4">
        <f t="shared" si="331"/>
        <v>344.379294906063</v>
      </c>
      <c r="S361" s="4">
        <f t="shared" si="332"/>
        <v>1.5678925476766</v>
      </c>
      <c r="T361" s="4" t="str">
        <f t="shared" si="321"/>
        <v>1+2,65170939121923i</v>
      </c>
      <c r="U361" s="4">
        <f t="shared" si="333"/>
        <v>2.83400118127715</v>
      </c>
      <c r="V361" s="4">
        <f t="shared" si="334"/>
        <v>1.21017249814437</v>
      </c>
      <c r="W361" t="str">
        <f t="shared" si="322"/>
        <v>1-7,61013537020825i</v>
      </c>
      <c r="X361" s="4">
        <f t="shared" si="335"/>
        <v>7.67555602890727</v>
      </c>
      <c r="Y361" s="4">
        <f t="shared" si="336"/>
        <v>-1.44014119248035</v>
      </c>
      <c r="Z361" t="str">
        <f t="shared" si="323"/>
        <v>0,994086237060612+0,52546172794295i</v>
      </c>
      <c r="AA361" s="4">
        <f t="shared" si="337"/>
        <v>1.12441872727473</v>
      </c>
      <c r="AB361" s="4">
        <f t="shared" si="338"/>
        <v>0.486255327781688</v>
      </c>
      <c r="AC361" s="67" t="str">
        <f t="shared" si="339"/>
        <v>-2,00498992266061-2,31705449911188i</v>
      </c>
      <c r="AD361" s="68">
        <f t="shared" si="340"/>
        <v>9.72606671381626</v>
      </c>
      <c r="AE361" s="31">
        <f t="shared" si="341"/>
        <v>-130.87023936511</v>
      </c>
      <c r="AF361" s="32" t="str">
        <f t="shared" si="342"/>
        <v>432,040091031901</v>
      </c>
      <c r="AG361" s="32" t="str">
        <f t="shared" si="324"/>
        <v>1+280,604168382987i</v>
      </c>
      <c r="AH361" s="32">
        <f t="shared" si="343"/>
        <v>280.605950246797</v>
      </c>
      <c r="AI361" s="32">
        <f t="shared" si="344"/>
        <v>1.56723260294723</v>
      </c>
      <c r="AJ361" s="32" t="str">
        <f t="shared" si="325"/>
        <v>1+2,65170939121923i</v>
      </c>
      <c r="AK361" s="32">
        <f t="shared" si="345"/>
        <v>2.83400118127715</v>
      </c>
      <c r="AL361" s="32">
        <f t="shared" si="346"/>
        <v>1.21017249814437</v>
      </c>
      <c r="AM361" s="32" t="str">
        <f t="shared" si="326"/>
        <v>1-0,78284625419209i</v>
      </c>
      <c r="AN361" s="32">
        <f t="shared" si="347"/>
        <v>1.26997962885339</v>
      </c>
      <c r="AO361" s="32">
        <f t="shared" si="348"/>
        <v>-0.664193471125686</v>
      </c>
      <c r="AP361" s="30" t="str">
        <f t="shared" si="349"/>
        <v>2,89428826474937-4,72555174326547i</v>
      </c>
      <c r="AQ361" s="32">
        <f t="shared" si="350"/>
        <v>14.8724790909002</v>
      </c>
      <c r="AR361" s="31">
        <f t="shared" si="351"/>
        <v>-58.5135197133488</v>
      </c>
      <c r="AS361" t="str">
        <f t="shared" si="327"/>
        <v>-0,000201496259351621</v>
      </c>
      <c r="AT361" t="str">
        <f t="shared" si="328"/>
        <v>0,0379999426152399i</v>
      </c>
      <c r="AU361">
        <f t="shared" si="352"/>
        <v>0.0379999426152399</v>
      </c>
      <c r="AV361">
        <f t="shared" si="353"/>
        <v>1.5707963267949</v>
      </c>
      <c r="AW361" t="str">
        <f t="shared" si="329"/>
        <v>1+1,94552736310026i</v>
      </c>
      <c r="AX361">
        <f t="shared" si="354"/>
        <v>2.18748182176946</v>
      </c>
      <c r="AY361">
        <f t="shared" si="355"/>
        <v>1.09601198187383</v>
      </c>
      <c r="AZ361" t="str">
        <f t="shared" si="330"/>
        <v>1+93,0127656358785i</v>
      </c>
      <c r="BA361">
        <f t="shared" si="356"/>
        <v>93.0181410867518</v>
      </c>
      <c r="BB361">
        <f t="shared" si="357"/>
        <v>1.56004552859733</v>
      </c>
      <c r="BC361" s="30" t="str">
        <f t="shared" si="358"/>
        <v>-0,100915368008726+0,201636150966642i</v>
      </c>
      <c r="BD361" s="32">
        <f t="shared" si="359"/>
        <v>-12.9378549830715</v>
      </c>
      <c r="BE361" s="31">
        <f t="shared" si="360"/>
        <v>116.587163779743</v>
      </c>
      <c r="BF361" s="30" t="str">
        <f t="shared" si="361"/>
        <v>0,669536246679943-0,170452043258041i</v>
      </c>
      <c r="BG361" s="68">
        <f t="shared" si="362"/>
        <v>-3.21178826925519</v>
      </c>
      <c r="BH361" s="31">
        <f t="shared" si="363"/>
        <v>-14.2830755853666</v>
      </c>
      <c r="BI361" s="30" t="str">
        <f t="shared" si="316"/>
        <v>0,660763899345235+1,0604739387079i</v>
      </c>
      <c r="BJ361" s="68">
        <f t="shared" si="364"/>
        <v>1.9346241078288</v>
      </c>
      <c r="BK361" s="31">
        <f t="shared" si="317"/>
        <v>58.0736440663947</v>
      </c>
      <c r="BL361" s="32">
        <f t="shared" si="365"/>
        <v>-3.21178826925519</v>
      </c>
      <c r="BM361" s="31">
        <f t="shared" si="366"/>
        <v>-14.2830755853666</v>
      </c>
      <c r="BO361">
        <f t="shared" si="367"/>
        <v>0</v>
      </c>
      <c r="BP361">
        <f t="shared" si="368"/>
        <v>0</v>
      </c>
    </row>
    <row r="362" spans="14:68">
      <c r="N362" s="7">
        <v>44</v>
      </c>
      <c r="O362" s="18">
        <f t="shared" si="318"/>
        <v>27542.2870333817</v>
      </c>
      <c r="P362" s="86" t="str">
        <f t="shared" si="319"/>
        <v>54,5454545454545</v>
      </c>
      <c r="Q362" s="4" t="str">
        <f t="shared" si="320"/>
        <v>1+352,399433454507i</v>
      </c>
      <c r="R362" s="4">
        <f t="shared" si="331"/>
        <v>352.400852296156</v>
      </c>
      <c r="S362" s="4">
        <f t="shared" si="332"/>
        <v>1.56795864540009</v>
      </c>
      <c r="T362" s="4" t="str">
        <f t="shared" si="321"/>
        <v>1+2,71347563759971i</v>
      </c>
      <c r="U362" s="4">
        <f t="shared" si="333"/>
        <v>2.89187655957981</v>
      </c>
      <c r="V362" s="4">
        <f t="shared" si="334"/>
        <v>1.21770909947775</v>
      </c>
      <c r="W362" t="str">
        <f t="shared" si="322"/>
        <v>1-7,78739819464202i</v>
      </c>
      <c r="X362" s="4">
        <f t="shared" si="335"/>
        <v>7.85134196439779</v>
      </c>
      <c r="Y362" s="4">
        <f t="shared" si="336"/>
        <v>-1.4430826633481</v>
      </c>
      <c r="Z362" t="str">
        <f t="shared" si="323"/>
        <v>0,993807529999762+0,537701303915758i</v>
      </c>
      <c r="AA362" s="4">
        <f t="shared" si="337"/>
        <v>1.12994517518194</v>
      </c>
      <c r="AB362" s="4">
        <f t="shared" si="338"/>
        <v>0.495947205976232</v>
      </c>
      <c r="AC362" s="67" t="str">
        <f t="shared" si="339"/>
        <v>-2,04726688099435-2,3413720816684i</v>
      </c>
      <c r="AD362" s="68">
        <f t="shared" si="340"/>
        <v>9.85575775065268</v>
      </c>
      <c r="AE362" s="31">
        <f t="shared" si="341"/>
        <v>-131.166048619812</v>
      </c>
      <c r="AF362" s="32" t="str">
        <f t="shared" si="342"/>
        <v>432,040091031901</v>
      </c>
      <c r="AG362" s="32" t="str">
        <f t="shared" si="324"/>
        <v>1+287,14027911108i</v>
      </c>
      <c r="AH362" s="32">
        <f t="shared" si="343"/>
        <v>287.142020414966</v>
      </c>
      <c r="AI362" s="32">
        <f t="shared" si="344"/>
        <v>1.5673137225422</v>
      </c>
      <c r="AJ362" s="32" t="str">
        <f t="shared" si="325"/>
        <v>1+2,71347563759971i</v>
      </c>
      <c r="AK362" s="32">
        <f t="shared" si="345"/>
        <v>2.89187655957981</v>
      </c>
      <c r="AL362" s="32">
        <f t="shared" si="346"/>
        <v>1.21770909947775</v>
      </c>
      <c r="AM362" s="32" t="str">
        <f t="shared" si="326"/>
        <v>1-0,801081085948005i</v>
      </c>
      <c r="AN362" s="32">
        <f t="shared" si="347"/>
        <v>1.28130047462086</v>
      </c>
      <c r="AO362" s="32">
        <f t="shared" si="348"/>
        <v>-0.675399793425843</v>
      </c>
      <c r="AP362" s="30" t="str">
        <f t="shared" si="349"/>
        <v>2,89404296594825-4,76518881732327i</v>
      </c>
      <c r="AQ362" s="32">
        <f t="shared" si="350"/>
        <v>14.9251607021682</v>
      </c>
      <c r="AR362" s="31">
        <f t="shared" si="351"/>
        <v>-58.7284270471633</v>
      </c>
      <c r="AS362" t="str">
        <f t="shared" si="327"/>
        <v>-0,000201496259351621</v>
      </c>
      <c r="AT362" t="str">
        <f t="shared" si="328"/>
        <v>0,0388850749852457i</v>
      </c>
      <c r="AU362">
        <f t="shared" si="352"/>
        <v>0.0388850749852457</v>
      </c>
      <c r="AV362">
        <f t="shared" si="353"/>
        <v>1.5707963267949</v>
      </c>
      <c r="AW362" t="str">
        <f t="shared" si="329"/>
        <v>1+1,99084451695096i</v>
      </c>
      <c r="AX362">
        <f t="shared" si="354"/>
        <v>2.22788282696234</v>
      </c>
      <c r="AY362">
        <f t="shared" si="355"/>
        <v>1.10531089277553</v>
      </c>
      <c r="AZ362" t="str">
        <f t="shared" si="330"/>
        <v>1+95,1793112678468i</v>
      </c>
      <c r="BA362">
        <f t="shared" si="356"/>
        <v>95.1845643653511</v>
      </c>
      <c r="BB362">
        <f t="shared" si="357"/>
        <v>1.56029022842427</v>
      </c>
      <c r="BC362" s="30" t="str">
        <f t="shared" si="358"/>
        <v>-0,0972885032347767+0,198868123803122i</v>
      </c>
      <c r="BD362" s="32">
        <f t="shared" si="359"/>
        <v>-13.0968354378507</v>
      </c>
      <c r="BE362" s="31">
        <f t="shared" si="360"/>
        <v>116.068395698339</v>
      </c>
      <c r="BF362" s="30" t="str">
        <f t="shared" si="361"/>
        <v>0,664799803580475-0,179347538206404i</v>
      </c>
      <c r="BG362" s="68">
        <f t="shared" si="362"/>
        <v>-3.24107768719801</v>
      </c>
      <c r="BH362" s="31">
        <f t="shared" si="363"/>
        <v>-15.0976529214726</v>
      </c>
      <c r="BI362" s="30" t="str">
        <f t="shared" si="316"/>
        <v>0,666087051214457+1,03913098251223i</v>
      </c>
      <c r="BJ362" s="68">
        <f t="shared" si="364"/>
        <v>1.82832526431748</v>
      </c>
      <c r="BK362" s="31">
        <f t="shared" si="317"/>
        <v>57.3399686511757</v>
      </c>
      <c r="BL362" s="32">
        <f t="shared" si="365"/>
        <v>-3.24107768719801</v>
      </c>
      <c r="BM362" s="31">
        <f t="shared" si="366"/>
        <v>-15.0976529214726</v>
      </c>
      <c r="BO362">
        <f t="shared" si="367"/>
        <v>0</v>
      </c>
      <c r="BP362">
        <f t="shared" si="368"/>
        <v>0</v>
      </c>
    </row>
    <row r="363" spans="14:68">
      <c r="N363" s="7">
        <v>45</v>
      </c>
      <c r="O363" s="18">
        <f t="shared" si="318"/>
        <v>28183.8293126446</v>
      </c>
      <c r="P363" s="86" t="str">
        <f t="shared" si="319"/>
        <v>54,5454545454545</v>
      </c>
      <c r="Q363" s="4" t="str">
        <f t="shared" si="320"/>
        <v>1+360,607870737705i</v>
      </c>
      <c r="R363" s="4">
        <f t="shared" si="331"/>
        <v>360.609257282701</v>
      </c>
      <c r="S363" s="4">
        <f t="shared" si="332"/>
        <v>1.56802323857967</v>
      </c>
      <c r="T363" s="4" t="str">
        <f t="shared" si="321"/>
        <v>1+2,77668060468033i</v>
      </c>
      <c r="U363" s="4">
        <f t="shared" si="333"/>
        <v>2.95126331939526</v>
      </c>
      <c r="V363" s="4">
        <f t="shared" si="334"/>
        <v>1.22511482254968</v>
      </c>
      <c r="W363" t="str">
        <f t="shared" si="322"/>
        <v>1-7,96879000067698i</v>
      </c>
      <c r="X363" s="4">
        <f t="shared" si="335"/>
        <v>8.03128968938921</v>
      </c>
      <c r="Y363" s="4">
        <f t="shared" si="336"/>
        <v>-1.44595932695606</v>
      </c>
      <c r="Z363" t="str">
        <f t="shared" si="323"/>
        <v>0,993515687879802+0,550225976237219i</v>
      </c>
      <c r="AA363" s="4">
        <f t="shared" si="337"/>
        <v>1.13570332701348</v>
      </c>
      <c r="AB363" s="4">
        <f t="shared" si="338"/>
        <v>0.505769080938266</v>
      </c>
      <c r="AC363" s="67" t="str">
        <f t="shared" si="339"/>
        <v>-2,09065915406695-2,36530489910012i</v>
      </c>
      <c r="AD363" s="68">
        <f t="shared" si="340"/>
        <v>9.98500094256068</v>
      </c>
      <c r="AE363" s="31">
        <f t="shared" si="341"/>
        <v>-131.473005526168</v>
      </c>
      <c r="AF363" s="32" t="str">
        <f t="shared" si="342"/>
        <v>432,040091031901</v>
      </c>
      <c r="AG363" s="32" t="str">
        <f t="shared" si="324"/>
        <v>1+293,828635415908i</v>
      </c>
      <c r="AH363" s="32">
        <f t="shared" si="343"/>
        <v>293.830337083111</v>
      </c>
      <c r="AI363" s="32">
        <f t="shared" si="344"/>
        <v>1.56739299567404</v>
      </c>
      <c r="AJ363" s="32" t="str">
        <f t="shared" si="325"/>
        <v>1+2,77668060468033i</v>
      </c>
      <c r="AK363" s="32">
        <f t="shared" si="345"/>
        <v>2.95126331939526</v>
      </c>
      <c r="AL363" s="32">
        <f t="shared" si="346"/>
        <v>1.22511482254968</v>
      </c>
      <c r="AM363" s="32" t="str">
        <f t="shared" si="326"/>
        <v>1-0,81974066149925i</v>
      </c>
      <c r="AN363" s="32">
        <f t="shared" si="347"/>
        <v>1.29304862712708</v>
      </c>
      <c r="AO363" s="32">
        <f t="shared" si="348"/>
        <v>-0.686662560378352</v>
      </c>
      <c r="AP363" s="30" t="str">
        <f t="shared" si="349"/>
        <v>2,89380870715003-4,80735238064919i</v>
      </c>
      <c r="AQ363" s="32">
        <f t="shared" si="350"/>
        <v>14.9810046638836</v>
      </c>
      <c r="AR363" s="31">
        <f t="shared" si="351"/>
        <v>-58.9539613988008</v>
      </c>
      <c r="AS363" t="str">
        <f t="shared" si="327"/>
        <v>-0,000201496259351621</v>
      </c>
      <c r="AT363" t="str">
        <f t="shared" si="328"/>
        <v>0,0397908247367137i</v>
      </c>
      <c r="AU363">
        <f t="shared" si="352"/>
        <v>0.0397908247367137</v>
      </c>
      <c r="AV363">
        <f t="shared" si="353"/>
        <v>1.5707963267949</v>
      </c>
      <c r="AW363" t="str">
        <f t="shared" si="329"/>
        <v>1+2,03721724291648i</v>
      </c>
      <c r="AX363">
        <f t="shared" si="354"/>
        <v>2.26941712667289</v>
      </c>
      <c r="AY363">
        <f t="shared" si="355"/>
        <v>1.11448285043863</v>
      </c>
      <c r="AZ363" t="str">
        <f t="shared" si="330"/>
        <v>1+97,3963222304962i</v>
      </c>
      <c r="BA363">
        <f t="shared" si="356"/>
        <v>97.4014557592783</v>
      </c>
      <c r="BB363">
        <f t="shared" si="357"/>
        <v>1.56052935941893</v>
      </c>
      <c r="BC363" s="30" t="str">
        <f t="shared" si="358"/>
        <v>-0,0937599911217301+0,196073358092616i</v>
      </c>
      <c r="BD363" s="32">
        <f t="shared" si="359"/>
        <v>-13.2572966556902</v>
      </c>
      <c r="BE363" s="31">
        <f t="shared" si="360"/>
        <v>115.556582431115</v>
      </c>
      <c r="BF363" s="30" t="str">
        <f t="shared" si="361"/>
        <v>0,659793458203358-0,188151594625163i</v>
      </c>
      <c r="BG363" s="68">
        <f t="shared" si="362"/>
        <v>-3.27229571312951</v>
      </c>
      <c r="BH363" s="31">
        <f t="shared" si="363"/>
        <v>-15.9164230950522</v>
      </c>
      <c r="BI363" s="30" t="str">
        <f t="shared" si="316"/>
        <v>0,671270246118047+1,01813610741725i</v>
      </c>
      <c r="BJ363" s="68">
        <f t="shared" si="364"/>
        <v>1.72370800819343</v>
      </c>
      <c r="BK363" s="31">
        <f t="shared" si="317"/>
        <v>56.6026210323145</v>
      </c>
      <c r="BL363" s="32">
        <f t="shared" si="365"/>
        <v>-3.27229571312951</v>
      </c>
      <c r="BM363" s="31">
        <f t="shared" si="366"/>
        <v>-15.9164230950522</v>
      </c>
      <c r="BO363">
        <f t="shared" si="367"/>
        <v>0</v>
      </c>
      <c r="BP363">
        <f t="shared" si="368"/>
        <v>0</v>
      </c>
    </row>
    <row r="364" spans="14:68">
      <c r="N364" s="7">
        <v>46</v>
      </c>
      <c r="O364" s="18">
        <f t="shared" si="318"/>
        <v>28840.3150312661</v>
      </c>
      <c r="P364" s="86" t="str">
        <f t="shared" si="319"/>
        <v>54,5454545454545</v>
      </c>
      <c r="Q364" s="4" t="str">
        <f t="shared" si="320"/>
        <v>1+369,007507087178i</v>
      </c>
      <c r="R364" s="4">
        <f t="shared" si="331"/>
        <v>369.008862070674</v>
      </c>
      <c r="S364" s="4">
        <f t="shared" si="332"/>
        <v>1.56808636146134</v>
      </c>
      <c r="T364" s="4" t="str">
        <f t="shared" si="321"/>
        <v>1+2,84135780457127i</v>
      </c>
      <c r="U364" s="4">
        <f t="shared" si="333"/>
        <v>3.0121942456618</v>
      </c>
      <c r="V364" s="4">
        <f t="shared" si="334"/>
        <v>1.2323903436781</v>
      </c>
      <c r="W364" t="str">
        <f t="shared" si="322"/>
        <v>1-8,1544069646497i</v>
      </c>
      <c r="X364" s="4">
        <f t="shared" si="335"/>
        <v>8.21549468657412</v>
      </c>
      <c r="Y364" s="4">
        <f t="shared" si="336"/>
        <v>-1.44877251800824</v>
      </c>
      <c r="Z364" t="str">
        <f t="shared" si="323"/>
        <v>0,993210091664468+0,563042385654384i</v>
      </c>
      <c r="AA364" s="4">
        <f t="shared" si="337"/>
        <v>1.14170180617687</v>
      </c>
      <c r="AB364" s="4">
        <f t="shared" si="338"/>
        <v>0.5157191966305</v>
      </c>
      <c r="AC364" s="67" t="str">
        <f t="shared" si="339"/>
        <v>-2,13516377037564-2,38880166212678i</v>
      </c>
      <c r="AD364" s="68">
        <f t="shared" si="340"/>
        <v>10.113715490076</v>
      </c>
      <c r="AE364" s="31">
        <f t="shared" si="341"/>
        <v>-131.791049155547</v>
      </c>
      <c r="AF364" s="32" t="str">
        <f t="shared" si="342"/>
        <v>432,040091031901</v>
      </c>
      <c r="AG364" s="32" t="str">
        <f t="shared" si="324"/>
        <v>1+300,672783552515i</v>
      </c>
      <c r="AH364" s="32">
        <f t="shared" si="343"/>
        <v>300.67444648526</v>
      </c>
      <c r="AI364" s="32">
        <f t="shared" si="344"/>
        <v>1.56747046437043</v>
      </c>
      <c r="AJ364" s="32" t="str">
        <f t="shared" si="325"/>
        <v>1+2,84135780457127i</v>
      </c>
      <c r="AK364" s="32">
        <f t="shared" si="345"/>
        <v>3.0121942456618</v>
      </c>
      <c r="AL364" s="32">
        <f t="shared" si="346"/>
        <v>1.2323903436781</v>
      </c>
      <c r="AM364" s="32" t="str">
        <f t="shared" si="326"/>
        <v>1-0,838834874399773i</v>
      </c>
      <c r="AN364" s="32">
        <f t="shared" si="347"/>
        <v>1.30523712271345</v>
      </c>
      <c r="AO364" s="32">
        <f t="shared" si="348"/>
        <v>-0.697976314887023</v>
      </c>
      <c r="AP364" s="30" t="str">
        <f t="shared" si="349"/>
        <v>2,89358499149579-4,85206479405645i</v>
      </c>
      <c r="AQ364" s="32">
        <f t="shared" si="350"/>
        <v>15.0399984103122</v>
      </c>
      <c r="AR364" s="31">
        <f t="shared" si="351"/>
        <v>-59.1897737575253</v>
      </c>
      <c r="AS364" t="str">
        <f t="shared" si="327"/>
        <v>-0,000201496259351621</v>
      </c>
      <c r="AT364" t="str">
        <f t="shared" si="328"/>
        <v>0,0407176721101507i</v>
      </c>
      <c r="AU364">
        <f t="shared" si="352"/>
        <v>0.0407176721101507</v>
      </c>
      <c r="AV364">
        <f t="shared" si="353"/>
        <v>1.5707963267949</v>
      </c>
      <c r="AW364" t="str">
        <f t="shared" si="329"/>
        <v>1+2,08467012842995i</v>
      </c>
      <c r="AX364">
        <f t="shared" si="354"/>
        <v>2.31210932794454</v>
      </c>
      <c r="AY364">
        <f t="shared" si="355"/>
        <v>1.12352654429443</v>
      </c>
      <c r="AZ364" t="str">
        <f t="shared" si="330"/>
        <v>1+99,664974012385i</v>
      </c>
      <c r="BA364">
        <f t="shared" si="356"/>
        <v>99.6699906937358</v>
      </c>
      <c r="BB364">
        <f t="shared" si="357"/>
        <v>1.56076304826225</v>
      </c>
      <c r="BC364" s="30" t="str">
        <f t="shared" si="358"/>
        <v>-0,090329474146017+0,193255775800822i</v>
      </c>
      <c r="BD364" s="32">
        <f t="shared" si="359"/>
        <v>-13.4191980146733</v>
      </c>
      <c r="BE364" s="31">
        <f t="shared" si="360"/>
        <v>115.051806326411</v>
      </c>
      <c r="BF364" s="30" t="str">
        <f t="shared" si="361"/>
        <v>0,654517939042263-0,196853532926709i</v>
      </c>
      <c r="BG364" s="68">
        <f t="shared" si="362"/>
        <v>-3.30548252459723</v>
      </c>
      <c r="BH364" s="31">
        <f t="shared" si="363"/>
        <v>-16.7392428291355</v>
      </c>
      <c r="BI364" s="30" t="str">
        <f t="shared" si="316"/>
        <v>0,676313535332613+0,997486473746655i</v>
      </c>
      <c r="BJ364" s="68">
        <f t="shared" si="364"/>
        <v>1.62080039563892</v>
      </c>
      <c r="BK364" s="31">
        <f t="shared" si="317"/>
        <v>55.8620325688861</v>
      </c>
      <c r="BL364" s="32">
        <f t="shared" si="365"/>
        <v>-3.30548252459723</v>
      </c>
      <c r="BM364" s="31">
        <f t="shared" si="366"/>
        <v>-16.7392428291355</v>
      </c>
      <c r="BO364">
        <f t="shared" si="367"/>
        <v>0</v>
      </c>
      <c r="BP364">
        <f t="shared" si="368"/>
        <v>0</v>
      </c>
    </row>
    <row r="365" spans="14:68">
      <c r="N365" s="7">
        <v>47</v>
      </c>
      <c r="O365" s="18">
        <f t="shared" si="318"/>
        <v>29512.0922666639</v>
      </c>
      <c r="P365" s="86" t="str">
        <f t="shared" si="319"/>
        <v>54,5454545454545</v>
      </c>
      <c r="Q365" s="4" t="str">
        <f t="shared" si="320"/>
        <v>1+377,602796101299i</v>
      </c>
      <c r="R365" s="4">
        <f t="shared" si="331"/>
        <v>377.604120241715</v>
      </c>
      <c r="S365" s="4">
        <f t="shared" si="332"/>
        <v>1.56814804751167</v>
      </c>
      <c r="T365" s="4" t="str">
        <f t="shared" si="321"/>
        <v>1+2,90754152998001i</v>
      </c>
      <c r="U365" s="4">
        <f t="shared" si="333"/>
        <v>3.07470287158914</v>
      </c>
      <c r="V365" s="4">
        <f t="shared" si="334"/>
        <v>1.2395364385532</v>
      </c>
      <c r="W365" t="str">
        <f t="shared" si="322"/>
        <v>1-8,3443475031314i</v>
      </c>
      <c r="X365" s="4">
        <f t="shared" si="335"/>
        <v>8.4040546912199</v>
      </c>
      <c r="Y365" s="4">
        <f t="shared" si="336"/>
        <v>-1.45152354989077</v>
      </c>
      <c r="Z365" t="str">
        <f t="shared" si="323"/>
        <v>0,992890093143216+0,576157327597168i</v>
      </c>
      <c r="AA365" s="4">
        <f t="shared" si="337"/>
        <v>1.14794947763647</v>
      </c>
      <c r="AB365" s="4">
        <f t="shared" si="338"/>
        <v>0.525795595041685</v>
      </c>
      <c r="AC365" s="67" t="str">
        <f t="shared" si="339"/>
        <v>-2,18077517571784-2,41181027839039i</v>
      </c>
      <c r="AD365" s="68">
        <f t="shared" si="340"/>
        <v>10.2418217890972</v>
      </c>
      <c r="AE365" s="31">
        <f t="shared" si="341"/>
        <v>-132.12010004737</v>
      </c>
      <c r="AF365" s="32" t="str">
        <f t="shared" si="342"/>
        <v>432,040091031901</v>
      </c>
      <c r="AG365" s="32" t="str">
        <f t="shared" si="324"/>
        <v>1+307,676352378836i</v>
      </c>
      <c r="AH365" s="32">
        <f t="shared" si="343"/>
        <v>307.677977458813</v>
      </c>
      <c r="AI365" s="32">
        <f t="shared" si="344"/>
        <v>1.56754616970257</v>
      </c>
      <c r="AJ365" s="32" t="str">
        <f t="shared" si="325"/>
        <v>1+2,90754152998001i</v>
      </c>
      <c r="AK365" s="32">
        <f t="shared" si="345"/>
        <v>3.07470287158914</v>
      </c>
      <c r="AL365" s="32">
        <f t="shared" si="346"/>
        <v>1.2395364385532</v>
      </c>
      <c r="AM365" s="32" t="str">
        <f t="shared" si="326"/>
        <v>1-0,858373848653993i</v>
      </c>
      <c r="AN365" s="32">
        <f t="shared" si="347"/>
        <v>1.31787922969181</v>
      </c>
      <c r="AO365" s="32">
        <f t="shared" si="348"/>
        <v>-0.709335471035716</v>
      </c>
      <c r="AP365" s="30" t="str">
        <f t="shared" si="349"/>
        <v>2,89337134448688-4,89934976944957i</v>
      </c>
      <c r="AQ365" s="32">
        <f t="shared" si="350"/>
        <v>15.1021280742135</v>
      </c>
      <c r="AR365" s="31">
        <f t="shared" si="351"/>
        <v>-59.4355019833509</v>
      </c>
      <c r="AS365" t="str">
        <f t="shared" si="327"/>
        <v>-0,000201496259351621</v>
      </c>
      <c r="AT365" t="str">
        <f t="shared" si="328"/>
        <v>0,0416661085323028i</v>
      </c>
      <c r="AU365">
        <f t="shared" si="352"/>
        <v>0.0416661085323028</v>
      </c>
      <c r="AV365">
        <f t="shared" si="353"/>
        <v>1.5707963267949</v>
      </c>
      <c r="AW365" t="str">
        <f t="shared" si="329"/>
        <v>1+2,13322833363939i</v>
      </c>
      <c r="AX365">
        <f t="shared" si="354"/>
        <v>2.35598453378665</v>
      </c>
      <c r="AY365">
        <f t="shared" si="355"/>
        <v>1.13244085109667</v>
      </c>
      <c r="AZ365" t="str">
        <f t="shared" si="330"/>
        <v>1+101,986469482717i</v>
      </c>
      <c r="BA365">
        <f t="shared" si="356"/>
        <v>101.991371976012</v>
      </c>
      <c r="BB365">
        <f t="shared" si="357"/>
        <v>1.560991418757</v>
      </c>
      <c r="BC365" s="30" t="str">
        <f t="shared" si="358"/>
        <v>-0,0869964124046976+0,190419186870089i</v>
      </c>
      <c r="BD365" s="32">
        <f t="shared" si="359"/>
        <v>-13.582499077079</v>
      </c>
      <c r="BE365" s="31">
        <f t="shared" si="360"/>
        <v>114.554138834873</v>
      </c>
      <c r="BF365" s="30" t="str">
        <f t="shared" si="361"/>
        <v>0,648974568644697-0,205442594085928i</v>
      </c>
      <c r="BG365" s="68">
        <f t="shared" si="362"/>
        <v>-3.3406772879818</v>
      </c>
      <c r="BH365" s="31">
        <f t="shared" si="363"/>
        <v>-17.5659612124978</v>
      </c>
      <c r="BI365" s="30" t="str">
        <f t="shared" si="316"/>
        <v>0,68121727256583+0,977179271788303i</v>
      </c>
      <c r="BJ365" s="68">
        <f t="shared" si="364"/>
        <v>1.51962899713444</v>
      </c>
      <c r="BK365" s="31">
        <f t="shared" si="317"/>
        <v>55.1186368515216</v>
      </c>
      <c r="BL365" s="32">
        <f t="shared" si="365"/>
        <v>-3.3406772879818</v>
      </c>
      <c r="BM365" s="31">
        <f t="shared" si="366"/>
        <v>-17.5659612124978</v>
      </c>
      <c r="BO365">
        <f t="shared" si="367"/>
        <v>0</v>
      </c>
      <c r="BP365">
        <f t="shared" si="368"/>
        <v>0</v>
      </c>
    </row>
    <row r="366" spans="14:68">
      <c r="N366" s="7">
        <v>48</v>
      </c>
      <c r="O366" s="18">
        <f t="shared" si="318"/>
        <v>30199.5172040202</v>
      </c>
      <c r="P366" s="86" t="str">
        <f t="shared" si="319"/>
        <v>54,5454545454545</v>
      </c>
      <c r="Q366" s="4" t="str">
        <f t="shared" si="320"/>
        <v>1+386,398295116078i</v>
      </c>
      <c r="R366" s="4">
        <f t="shared" si="331"/>
        <v>386.39958911548</v>
      </c>
      <c r="S366" s="4">
        <f t="shared" si="332"/>
        <v>1.56820832943554</v>
      </c>
      <c r="T366" s="4" t="str">
        <f t="shared" si="321"/>
        <v>1+2,9752668723938i</v>
      </c>
      <c r="U366" s="4">
        <f t="shared" si="333"/>
        <v>3.13882349965142</v>
      </c>
      <c r="V366" s="4">
        <f t="shared" si="334"/>
        <v>1.24655397577949</v>
      </c>
      <c r="W366" t="str">
        <f t="shared" si="322"/>
        <v>1-8,53871232510977i</v>
      </c>
      <c r="X366" s="4">
        <f t="shared" si="335"/>
        <v>8.59706974328937</v>
      </c>
      <c r="Y366" s="4">
        <f t="shared" si="336"/>
        <v>-1.45421371458543</v>
      </c>
      <c r="Z366" t="str">
        <f t="shared" si="323"/>
        <v>0,992555013556278+0,589577755781389i</v>
      </c>
      <c r="AA366" s="4">
        <f t="shared" si="337"/>
        <v>1.15445544957262</v>
      </c>
      <c r="AB366" s="4">
        <f t="shared" si="338"/>
        <v>0.535996113107566</v>
      </c>
      <c r="AC366" s="67" t="str">
        <f t="shared" si="339"/>
        <v>-2,22748512152253-2,43427799967646i</v>
      </c>
      <c r="AD366" s="68">
        <f t="shared" si="340"/>
        <v>10.3692415299456</v>
      </c>
      <c r="AE366" s="31">
        <f t="shared" si="341"/>
        <v>-132.460060398767</v>
      </c>
      <c r="AF366" s="32" t="str">
        <f t="shared" si="342"/>
        <v>432,040091031901</v>
      </c>
      <c r="AG366" s="32" t="str">
        <f t="shared" si="324"/>
        <v>1+314,843055279767i</v>
      </c>
      <c r="AH366" s="32">
        <f t="shared" si="343"/>
        <v>314.844643368596</v>
      </c>
      <c r="AI366" s="32">
        <f t="shared" si="344"/>
        <v>1.56762015180697</v>
      </c>
      <c r="AJ366" s="32" t="str">
        <f t="shared" si="325"/>
        <v>1+2,9752668723938i</v>
      </c>
      <c r="AK366" s="32">
        <f t="shared" si="345"/>
        <v>3.13882349965142</v>
      </c>
      <c r="AL366" s="32">
        <f t="shared" si="346"/>
        <v>1.24655397577949</v>
      </c>
      <c r="AM366" s="32" t="str">
        <f t="shared" si="326"/>
        <v>1-0,878367944084692i</v>
      </c>
      <c r="AN366" s="32">
        <f t="shared" si="347"/>
        <v>1.33098844667997</v>
      </c>
      <c r="AO366" s="32">
        <f t="shared" si="348"/>
        <v>-0.720734327014923</v>
      </c>
      <c r="AP366" s="30" t="str">
        <f t="shared" si="349"/>
        <v>2,89316731297875-4,94923238241977i</v>
      </c>
      <c r="AQ366" s="32">
        <f t="shared" si="350"/>
        <v>15.1673784245471</v>
      </c>
      <c r="AR366" s="31">
        <f t="shared" si="351"/>
        <v>-59.6907719189358</v>
      </c>
      <c r="AS366" t="str">
        <f t="shared" si="327"/>
        <v>-0,000201496259351621</v>
      </c>
      <c r="AT366" t="str">
        <f t="shared" si="328"/>
        <v>0,0426366368767147i</v>
      </c>
      <c r="AU366">
        <f t="shared" si="352"/>
        <v>0.0426366368767147</v>
      </c>
      <c r="AV366">
        <f t="shared" si="353"/>
        <v>1.5707963267949</v>
      </c>
      <c r="AW366" t="str">
        <f t="shared" si="329"/>
        <v>1+2,18291760474794i</v>
      </c>
      <c r="AX366">
        <f t="shared" si="354"/>
        <v>2.40106835994282</v>
      </c>
      <c r="AY366">
        <f t="shared" si="355"/>
        <v>1.1412248293323</v>
      </c>
      <c r="AZ366" t="str">
        <f t="shared" si="330"/>
        <v>1+104,362039529119i</v>
      </c>
      <c r="BA366">
        <f t="shared" si="356"/>
        <v>104.366830433224</v>
      </c>
      <c r="BB366">
        <f t="shared" si="357"/>
        <v>1.56121459189292</v>
      </c>
      <c r="BC366" s="30" t="str">
        <f t="shared" si="358"/>
        <v>-0,0837600955095901+0,187567281836198i</v>
      </c>
      <c r="BD366" s="32">
        <f t="shared" si="359"/>
        <v>-13.7471596625532</v>
      </c>
      <c r="BE366" s="31">
        <f t="shared" si="360"/>
        <v>114.063640833425</v>
      </c>
      <c r="BF366" s="30" t="str">
        <f t="shared" si="361"/>
        <v>0,643165274157889-0,21390797182476i</v>
      </c>
      <c r="BG366" s="68">
        <f t="shared" si="362"/>
        <v>-3.37791813260761</v>
      </c>
      <c r="BH366" s="31">
        <f t="shared" si="363"/>
        <v>-18.3964195653427</v>
      </c>
      <c r="BI366" s="30" t="str">
        <f t="shared" si="316"/>
        <v>0,685982094685842+0,957211705843397i</v>
      </c>
      <c r="BJ366" s="68">
        <f t="shared" si="364"/>
        <v>1.42021876199388</v>
      </c>
      <c r="BK366" s="31">
        <f t="shared" si="317"/>
        <v>54.3728689144888</v>
      </c>
      <c r="BL366" s="32">
        <f t="shared" si="365"/>
        <v>-3.37791813260761</v>
      </c>
      <c r="BM366" s="31">
        <f t="shared" si="366"/>
        <v>-18.3964195653427</v>
      </c>
      <c r="BO366">
        <f t="shared" si="367"/>
        <v>0</v>
      </c>
      <c r="BP366">
        <f t="shared" si="368"/>
        <v>0</v>
      </c>
    </row>
    <row r="367" spans="14:68">
      <c r="N367" s="7">
        <v>49</v>
      </c>
      <c r="O367" s="18">
        <f t="shared" si="318"/>
        <v>30902.954325136</v>
      </c>
      <c r="P367" s="86" t="str">
        <f t="shared" si="319"/>
        <v>54,5454545454545</v>
      </c>
      <c r="Q367" s="4" t="str">
        <f t="shared" si="320"/>
        <v>1+395,398667621513i</v>
      </c>
      <c r="R367" s="4">
        <f t="shared" si="331"/>
        <v>395.399932165988</v>
      </c>
      <c r="S367" s="4">
        <f t="shared" si="332"/>
        <v>1.56826723919346</v>
      </c>
      <c r="T367" s="4" t="str">
        <f t="shared" si="321"/>
        <v>1+3,04456974068565i</v>
      </c>
      <c r="U367" s="4">
        <f t="shared" si="333"/>
        <v>3.20459122290171</v>
      </c>
      <c r="V367" s="4">
        <f t="shared" si="334"/>
        <v>1.2534439105655</v>
      </c>
      <c r="W367" t="str">
        <f t="shared" si="322"/>
        <v>1-8,73760448538613i</v>
      </c>
      <c r="X367" s="4">
        <f t="shared" si="335"/>
        <v>8.79464224076454</v>
      </c>
      <c r="Y367" s="4">
        <f t="shared" si="336"/>
        <v>-1.45684428261983</v>
      </c>
      <c r="Z367" t="str">
        <f t="shared" si="323"/>
        <v>0,992204142154927+0,603310785895709i</v>
      </c>
      <c r="AA367" s="4">
        <f t="shared" si="337"/>
        <v>1.16122907476841</v>
      </c>
      <c r="AB367" s="4">
        <f t="shared" si="338"/>
        <v>0.546318380284993</v>
      </c>
      <c r="AC367" s="67" t="str">
        <f t="shared" si="339"/>
        <v>-2,27528256198024-2,4561515819469i</v>
      </c>
      <c r="AD367" s="68">
        <f t="shared" si="340"/>
        <v>10.4958977974855</v>
      </c>
      <c r="AE367" s="31">
        <f t="shared" si="341"/>
        <v>-132.810814285276</v>
      </c>
      <c r="AF367" s="32" t="str">
        <f t="shared" si="342"/>
        <v>432,040091031901</v>
      </c>
      <c r="AG367" s="32" t="str">
        <f t="shared" si="324"/>
        <v>1+322,176692136048i</v>
      </c>
      <c r="AH367" s="32">
        <f t="shared" si="343"/>
        <v>322.178244075738</v>
      </c>
      <c r="AI367" s="32">
        <f t="shared" si="344"/>
        <v>1.56769244990667</v>
      </c>
      <c r="AJ367" s="32" t="str">
        <f t="shared" si="325"/>
        <v>1+3,04456974068565i</v>
      </c>
      <c r="AK367" s="32">
        <f t="shared" si="345"/>
        <v>3.20459122290171</v>
      </c>
      <c r="AL367" s="32">
        <f t="shared" si="346"/>
        <v>1.2534439105655</v>
      </c>
      <c r="AM367" s="32" t="str">
        <f t="shared" si="326"/>
        <v>1-0,898827761825918i</v>
      </c>
      <c r="AN367" s="32">
        <f t="shared" si="347"/>
        <v>1.34457850102885</v>
      </c>
      <c r="AO367" s="32">
        <f t="shared" si="348"/>
        <v>-0.732167078756896</v>
      </c>
      <c r="AP367" s="30" t="str">
        <f t="shared" si="349"/>
        <v>2,89297246422006-5,00173908556167i</v>
      </c>
      <c r="AQ367" s="32">
        <f t="shared" si="350"/>
        <v>15.2357328087949</v>
      </c>
      <c r="AR367" s="31">
        <f t="shared" si="351"/>
        <v>-59.9551985335927</v>
      </c>
      <c r="AS367" t="str">
        <f t="shared" si="327"/>
        <v>-0,000201496259351621</v>
      </c>
      <c r="AT367" t="str">
        <f t="shared" si="328"/>
        <v>0,0436297717303614i</v>
      </c>
      <c r="AU367">
        <f t="shared" si="352"/>
        <v>0.0436297717303614</v>
      </c>
      <c r="AV367">
        <f t="shared" si="353"/>
        <v>1.5707963267949</v>
      </c>
      <c r="AW367" t="str">
        <f t="shared" si="329"/>
        <v>1+2,23376428766485i</v>
      </c>
      <c r="AX367">
        <f t="shared" si="354"/>
        <v>2.44738695200552</v>
      </c>
      <c r="AY367">
        <f t="shared" si="355"/>
        <v>1.14987771330791</v>
      </c>
      <c r="AZ367" t="str">
        <f t="shared" si="330"/>
        <v>1+106,792943710275i</v>
      </c>
      <c r="BA367">
        <f t="shared" si="356"/>
        <v>106.797625564925</v>
      </c>
      <c r="BB367">
        <f t="shared" si="357"/>
        <v>1.56143268591036</v>
      </c>
      <c r="BC367" s="30" t="str">
        <f t="shared" si="358"/>
        <v>-0,0806196545713784+0,184703625539864i</v>
      </c>
      <c r="BD367" s="32">
        <f t="shared" si="359"/>
        <v>-13.913139916327</v>
      </c>
      <c r="BE367" s="31">
        <f t="shared" si="360"/>
        <v>113.580362967743</v>
      </c>
      <c r="BF367" s="30" t="str">
        <f t="shared" si="361"/>
        <v>0,637092596260193-0,222238846213877i</v>
      </c>
      <c r="BG367" s="68">
        <f t="shared" si="362"/>
        <v>-3.41724211884153</v>
      </c>
      <c r="BH367" s="31">
        <f t="shared" si="363"/>
        <v>-19.2304513175336</v>
      </c>
      <c r="BI367" s="30" t="str">
        <f t="shared" si="316"/>
        <v>0,690608902357754+0,937580980062583i</v>
      </c>
      <c r="BJ367" s="68">
        <f t="shared" si="364"/>
        <v>1.32259289246791</v>
      </c>
      <c r="BK367" s="31">
        <f t="shared" si="317"/>
        <v>53.62516443415</v>
      </c>
      <c r="BL367" s="32">
        <f t="shared" si="365"/>
        <v>-3.41724211884153</v>
      </c>
      <c r="BM367" s="31">
        <f t="shared" si="366"/>
        <v>-19.2304513175336</v>
      </c>
      <c r="BO367">
        <f t="shared" si="367"/>
        <v>0</v>
      </c>
      <c r="BP367">
        <f t="shared" si="368"/>
        <v>0</v>
      </c>
    </row>
    <row r="368" spans="14:68">
      <c r="N368" s="7">
        <v>50</v>
      </c>
      <c r="O368" s="18">
        <f t="shared" si="318"/>
        <v>31622.7766016838</v>
      </c>
      <c r="P368" s="86" t="str">
        <f t="shared" si="319"/>
        <v>54,5454545454545</v>
      </c>
      <c r="Q368" s="4" t="str">
        <f t="shared" si="320"/>
        <v>1+404,608685734241i</v>
      </c>
      <c r="R368" s="4">
        <f t="shared" si="331"/>
        <v>404.609921494258</v>
      </c>
      <c r="S368" s="4">
        <f t="shared" si="332"/>
        <v>1.56832480801855</v>
      </c>
      <c r="T368" s="4" t="str">
        <f t="shared" si="321"/>
        <v>1+3,11548688015366i</v>
      </c>
      <c r="U368" s="4">
        <f t="shared" si="333"/>
        <v>3.27204194661523</v>
      </c>
      <c r="V368" s="4">
        <f t="shared" si="334"/>
        <v>1.26020727857623</v>
      </c>
      <c r="W368" t="str">
        <f t="shared" si="322"/>
        <v>1-8,9411294392165i</v>
      </c>
      <c r="X368" s="4">
        <f t="shared" si="335"/>
        <v>8.99687699420326</v>
      </c>
      <c r="Y368" s="4">
        <f t="shared" si="336"/>
        <v>-1.45941650305145</v>
      </c>
      <c r="Z368" t="str">
        <f t="shared" si="323"/>
        <v>0,991836734693878+0,617363699374472i</v>
      </c>
      <c r="AA368" s="4">
        <f t="shared" si="337"/>
        <v>1.16827995172114</v>
      </c>
      <c r="AB368" s="4">
        <f t="shared" si="338"/>
        <v>0.556759816832164</v>
      </c>
      <c r="AC368" s="67" t="str">
        <f t="shared" si="339"/>
        <v>-2,32415356142459-2,47737745774741i</v>
      </c>
      <c r="AD368" s="68">
        <f t="shared" si="340"/>
        <v>10.6217151721589</v>
      </c>
      <c r="AE368" s="31">
        <f t="shared" si="341"/>
        <v>-133.172227914592</v>
      </c>
      <c r="AF368" s="32" t="str">
        <f t="shared" si="342"/>
        <v>432,040091031901</v>
      </c>
      <c r="AG368" s="32" t="str">
        <f t="shared" si="324"/>
        <v>1+329,681151339011i</v>
      </c>
      <c r="AH368" s="32">
        <f t="shared" si="343"/>
        <v>329.682667952405</v>
      </c>
      <c r="AI368" s="32">
        <f t="shared" si="344"/>
        <v>1.56776310233205</v>
      </c>
      <c r="AJ368" s="32" t="str">
        <f t="shared" si="325"/>
        <v>1+3,11548688015366i</v>
      </c>
      <c r="AK368" s="32">
        <f t="shared" si="345"/>
        <v>3.27204194661523</v>
      </c>
      <c r="AL368" s="32">
        <f t="shared" si="346"/>
        <v>1.26020727857623</v>
      </c>
      <c r="AM368" s="32" t="str">
        <f t="shared" si="326"/>
        <v>1-0,919764149943855i</v>
      </c>
      <c r="AN368" s="32">
        <f t="shared" si="347"/>
        <v>1.35866334738299</v>
      </c>
      <c r="AO368" s="32">
        <f t="shared" si="348"/>
        <v>-0.743627834204439</v>
      </c>
      <c r="AP368" s="30" t="str">
        <f t="shared" si="349"/>
        <v>2,89278638493497-5,05689772251875i</v>
      </c>
      <c r="AQ368" s="32">
        <f t="shared" si="350"/>
        <v>15.3071731006892</v>
      </c>
      <c r="AR368" s="31">
        <f t="shared" si="351"/>
        <v>-60.2283870942464</v>
      </c>
      <c r="AS368" t="str">
        <f t="shared" si="327"/>
        <v>-0,000201496259351621</v>
      </c>
      <c r="AT368" t="str">
        <f t="shared" si="328"/>
        <v>0,0446460396664877i</v>
      </c>
      <c r="AU368">
        <f t="shared" si="352"/>
        <v>0.0446460396664877</v>
      </c>
      <c r="AV368">
        <f t="shared" si="353"/>
        <v>1.5707963267949</v>
      </c>
      <c r="AW368" t="str">
        <f t="shared" si="329"/>
        <v>1+2,28579534197445i</v>
      </c>
      <c r="AX368">
        <f t="shared" si="354"/>
        <v>2.49496700286639</v>
      </c>
      <c r="AY368">
        <f t="shared" si="355"/>
        <v>1.15839890696319</v>
      </c>
      <c r="AZ368" t="str">
        <f t="shared" si="330"/>
        <v>1+109,280470923757i</v>
      </c>
      <c r="BA368">
        <f t="shared" si="356"/>
        <v>109.285046210898</v>
      </c>
      <c r="BB368">
        <f t="shared" si="357"/>
        <v>1.56164581636263</v>
      </c>
      <c r="BC368" s="30" t="str">
        <f t="shared" si="358"/>
        <v>-0,0775740741820743+0,181831651893846i</v>
      </c>
      <c r="BD368" s="32">
        <f t="shared" si="359"/>
        <v>-14.0804003724661</v>
      </c>
      <c r="BE368" s="31">
        <f t="shared" si="360"/>
        <v>113.104346010282</v>
      </c>
      <c r="BF368" s="30" t="str">
        <f t="shared" si="361"/>
        <v>0,630759696291272-0,230424418644502i</v>
      </c>
      <c r="BG368" s="68">
        <f t="shared" si="362"/>
        <v>-3.45868520030719</v>
      </c>
      <c r="BH368" s="31">
        <f t="shared" si="363"/>
        <v>-20.0678819043096</v>
      </c>
      <c r="BI368" s="30" t="str">
        <f t="shared" si="316"/>
        <v>0,695098840725972+0,918284286006585i</v>
      </c>
      <c r="BJ368" s="68">
        <f t="shared" si="364"/>
        <v>1.22677272822314</v>
      </c>
      <c r="BK368" s="31">
        <f t="shared" si="317"/>
        <v>52.8759589160361</v>
      </c>
      <c r="BL368" s="32">
        <f t="shared" si="365"/>
        <v>-3.45868520030719</v>
      </c>
      <c r="BM368" s="31">
        <f t="shared" si="366"/>
        <v>-20.0678819043096</v>
      </c>
      <c r="BO368">
        <f t="shared" si="367"/>
        <v>0</v>
      </c>
      <c r="BP368">
        <f t="shared" si="368"/>
        <v>0</v>
      </c>
    </row>
    <row r="369" spans="14:68">
      <c r="N369" s="7">
        <v>51</v>
      </c>
      <c r="O369" s="18">
        <f t="shared" si="318"/>
        <v>32359.3656929629</v>
      </c>
      <c r="P369" s="86" t="str">
        <f t="shared" si="319"/>
        <v>54,5454545454545</v>
      </c>
      <c r="Q369" s="4" t="str">
        <f t="shared" si="320"/>
        <v>1+414,033232727776i</v>
      </c>
      <c r="R369" s="4">
        <f t="shared" si="331"/>
        <v>414.034440358544</v>
      </c>
      <c r="S369" s="4">
        <f t="shared" si="332"/>
        <v>1.56838106643302</v>
      </c>
      <c r="T369" s="4" t="str">
        <f t="shared" si="321"/>
        <v>1+3,18805589200388i</v>
      </c>
      <c r="U369" s="4">
        <f t="shared" si="333"/>
        <v>3.34121241026976</v>
      </c>
      <c r="V369" s="4">
        <f t="shared" si="334"/>
        <v>1.2668451899616</v>
      </c>
      <c r="W369" t="str">
        <f t="shared" si="322"/>
        <v>1-9,14939509822543i</v>
      </c>
      <c r="X369" s="4">
        <f t="shared" si="335"/>
        <v>9.20388128255854</v>
      </c>
      <c r="Y369" s="4">
        <f t="shared" si="336"/>
        <v>-1.46193160348287</v>
      </c>
      <c r="Z369" t="str">
        <f t="shared" si="323"/>
        <v>0,991452011852646+0,631743947258422i</v>
      </c>
      <c r="AA369" s="4">
        <f t="shared" si="337"/>
        <v>1.17561792547762</v>
      </c>
      <c r="AB369" s="4">
        <f t="shared" si="338"/>
        <v>0.567317632845724</v>
      </c>
      <c r="AC369" s="67" t="str">
        <f t="shared" si="339"/>
        <v>-2,3740812134183-2,49790192038208i</v>
      </c>
      <c r="AD369" s="68">
        <f t="shared" si="340"/>
        <v>10.7466198317311</v>
      </c>
      <c r="AE369" s="31">
        <f t="shared" si="341"/>
        <v>-133.544149915365</v>
      </c>
      <c r="AF369" s="32" t="str">
        <f t="shared" si="342"/>
        <v>432,040091031901</v>
      </c>
      <c r="AG369" s="32" t="str">
        <f t="shared" si="324"/>
        <v>1+337,360411852262i</v>
      </c>
      <c r="AH369" s="32">
        <f t="shared" si="343"/>
        <v>337.361893943474</v>
      </c>
      <c r="AI369" s="32">
        <f t="shared" si="344"/>
        <v>1.56783214654114</v>
      </c>
      <c r="AJ369" s="32" t="str">
        <f t="shared" si="325"/>
        <v>1+3,18805589200388i</v>
      </c>
      <c r="AK369" s="32">
        <f t="shared" si="345"/>
        <v>3.34121241026976</v>
      </c>
      <c r="AL369" s="32">
        <f t="shared" si="346"/>
        <v>1.2668451899616</v>
      </c>
      <c r="AM369" s="32" t="str">
        <f t="shared" si="326"/>
        <v>1-0,941188209188615i</v>
      </c>
      <c r="AN369" s="32">
        <f t="shared" si="347"/>
        <v>1.37325716641701</v>
      </c>
      <c r="AO369" s="32">
        <f t="shared" si="348"/>
        <v>-0.755110628131215</v>
      </c>
      <c r="AP369" s="30" t="str">
        <f t="shared" si="349"/>
        <v>2,89260868044664-5,11473754276487i</v>
      </c>
      <c r="AQ369" s="32">
        <f t="shared" si="350"/>
        <v>15.3816796540681</v>
      </c>
      <c r="AR369" s="31">
        <f t="shared" si="351"/>
        <v>-60.5099343578864</v>
      </c>
      <c r="AS369" t="str">
        <f t="shared" si="327"/>
        <v>-0,000201496259351621</v>
      </c>
      <c r="AT369" t="str">
        <f t="shared" si="328"/>
        <v>0,0456859795238055i</v>
      </c>
      <c r="AU369">
        <f t="shared" si="352"/>
        <v>0.0456859795238055</v>
      </c>
      <c r="AV369">
        <f t="shared" si="353"/>
        <v>1.5707963267949</v>
      </c>
      <c r="AW369" t="str">
        <f t="shared" si="329"/>
        <v>1+2,33903835523045i</v>
      </c>
      <c r="AX369">
        <f t="shared" si="354"/>
        <v>2.54383577049289</v>
      </c>
      <c r="AY369">
        <f t="shared" si="355"/>
        <v>1.16678797746061</v>
      </c>
      <c r="AZ369" t="str">
        <f t="shared" si="330"/>
        <v>1+111,825940089422i</v>
      </c>
      <c r="BA369">
        <f t="shared" si="356"/>
        <v>111.830411234525</v>
      </c>
      <c r="BB369">
        <f t="shared" si="357"/>
        <v>1.56185409617683</v>
      </c>
      <c r="BC369" s="30" t="str">
        <f t="shared" si="358"/>
        <v>-0,0746222043122456+0,17895465966015i</v>
      </c>
      <c r="BD369" s="32">
        <f t="shared" si="359"/>
        <v>-14.2489020121669</v>
      </c>
      <c r="BE369" s="31">
        <f t="shared" si="360"/>
        <v>112.635621231054</v>
      </c>
      <c r="BF369" s="30" t="str">
        <f t="shared" si="361"/>
        <v>0,624170361387975-0,238453948098126i</v>
      </c>
      <c r="BG369" s="68">
        <f t="shared" si="362"/>
        <v>-3.50228218043576</v>
      </c>
      <c r="BH369" s="31">
        <f t="shared" si="363"/>
        <v>-20.908528684311</v>
      </c>
      <c r="BI369" s="30" t="str">
        <f t="shared" si="316"/>
        <v>0,699453280268815+0,899318791859037i</v>
      </c>
      <c r="BJ369" s="68">
        <f t="shared" si="364"/>
        <v>1.1327776419012</v>
      </c>
      <c r="BK369" s="31">
        <f t="shared" si="317"/>
        <v>52.1256868731673</v>
      </c>
      <c r="BL369" s="32">
        <f t="shared" si="365"/>
        <v>-3.50228218043576</v>
      </c>
      <c r="BM369" s="31">
        <f t="shared" si="366"/>
        <v>-20.908528684311</v>
      </c>
      <c r="BO369">
        <f t="shared" si="367"/>
        <v>0</v>
      </c>
      <c r="BP369">
        <f t="shared" si="368"/>
        <v>0</v>
      </c>
    </row>
    <row r="370" spans="14:68">
      <c r="N370" s="7">
        <v>52</v>
      </c>
      <c r="O370" s="18">
        <f t="shared" si="318"/>
        <v>33113.1121482591</v>
      </c>
      <c r="P370" s="86" t="str">
        <f t="shared" si="319"/>
        <v>54,5454545454545</v>
      </c>
      <c r="Q370" s="4" t="str">
        <f t="shared" si="320"/>
        <v>1+423,677305621677i</v>
      </c>
      <c r="R370" s="4">
        <f t="shared" si="331"/>
        <v>423.67848576349</v>
      </c>
      <c r="S370" s="4">
        <f t="shared" si="332"/>
        <v>1.56843604426441</v>
      </c>
      <c r="T370" s="4" t="str">
        <f t="shared" si="321"/>
        <v>1+3,26231525328692i</v>
      </c>
      <c r="U370" s="4">
        <f t="shared" si="333"/>
        <v>3.41214020987246</v>
      </c>
      <c r="V370" s="4">
        <f t="shared" si="334"/>
        <v>1.27335882357151</v>
      </c>
      <c r="W370" t="str">
        <f t="shared" si="322"/>
        <v>1-9,3625118876219i</v>
      </c>
      <c r="X370" s="4">
        <f t="shared" si="335"/>
        <v>9.41576491029068</v>
      </c>
      <c r="Y370" s="4">
        <f t="shared" si="336"/>
        <v>-1.46439079010578</v>
      </c>
      <c r="Z370" t="str">
        <f t="shared" si="323"/>
        <v>0,991049157582505+0,646459154145322i</v>
      </c>
      <c r="AA370" s="4">
        <f t="shared" si="337"/>
        <v>1.18325308819512</v>
      </c>
      <c r="AB370" s="4">
        <f t="shared" si="338"/>
        <v>0.577988828102537</v>
      </c>
      <c r="AC370" s="67" t="str">
        <f t="shared" si="339"/>
        <v>-2,42504557297775-2,51767131907223i</v>
      </c>
      <c r="AD370" s="68">
        <f t="shared" si="340"/>
        <v>10.870539653492</v>
      </c>
      <c r="AE370" s="31">
        <f t="shared" si="341"/>
        <v>-133.92641166303</v>
      </c>
      <c r="AF370" s="32" t="str">
        <f t="shared" si="342"/>
        <v>432,040091031901</v>
      </c>
      <c r="AG370" s="32" t="str">
        <f t="shared" si="324"/>
        <v>1+345,218545321367i</v>
      </c>
      <c r="AH370" s="32">
        <f t="shared" si="343"/>
        <v>345.219993676207</v>
      </c>
      <c r="AI370" s="32">
        <f t="shared" si="344"/>
        <v>1.56789961913947</v>
      </c>
      <c r="AJ370" s="32" t="str">
        <f t="shared" si="325"/>
        <v>1+3,26231525328692i</v>
      </c>
      <c r="AK370" s="32">
        <f t="shared" si="345"/>
        <v>3.41214020987246</v>
      </c>
      <c r="AL370" s="32">
        <f t="shared" si="346"/>
        <v>1.27335882357151</v>
      </c>
      <c r="AM370" s="32" t="str">
        <f t="shared" si="326"/>
        <v>1-0,963111298879977i</v>
      </c>
      <c r="AN370" s="32">
        <f t="shared" si="347"/>
        <v>1.38837436379036</v>
      </c>
      <c r="AO370" s="32">
        <f t="shared" si="348"/>
        <v>-0.766609437425102</v>
      </c>
      <c r="AP370" s="30" t="str">
        <f t="shared" si="349"/>
        <v>2,89243897384041-5,17528921713027i</v>
      </c>
      <c r="AQ370" s="32">
        <f t="shared" si="350"/>
        <v>15.4592312635086</v>
      </c>
      <c r="AR370" s="31">
        <f t="shared" si="351"/>
        <v>-60.7994297798264</v>
      </c>
      <c r="AS370" t="str">
        <f t="shared" si="327"/>
        <v>-0,000201496259351621</v>
      </c>
      <c r="AT370" t="str">
        <f t="shared" si="328"/>
        <v>0,0467501426921921i</v>
      </c>
      <c r="AU370">
        <f t="shared" si="352"/>
        <v>0.0467501426921921</v>
      </c>
      <c r="AV370">
        <f t="shared" si="353"/>
        <v>1.5707963267949</v>
      </c>
      <c r="AW370" t="str">
        <f t="shared" si="329"/>
        <v>1+2,39352155758321i</v>
      </c>
      <c r="AX370">
        <f t="shared" si="354"/>
        <v>2.59402109602361</v>
      </c>
      <c r="AY370">
        <f t="shared" si="355"/>
        <v>1.1750446485982</v>
      </c>
      <c r="AZ370" t="str">
        <f t="shared" si="330"/>
        <v>1+114,430700848712i</v>
      </c>
      <c r="BA370">
        <f t="shared" si="356"/>
        <v>114.435070222058</v>
      </c>
      <c r="BB370">
        <f t="shared" si="357"/>
        <v>1.56205763571334</v>
      </c>
      <c r="BC370" s="30" t="str">
        <f t="shared" si="358"/>
        <v>-0,0717627720476429+0,176075809186544i</v>
      </c>
      <c r="BD370" s="32">
        <f t="shared" si="359"/>
        <v>-14.4186063171539</v>
      </c>
      <c r="BE370" s="31">
        <f t="shared" si="360"/>
        <v>112.174210778448</v>
      </c>
      <c r="BF370" s="30" t="str">
        <f t="shared" si="361"/>
        <v>0,617329007430144-0,246316788614835i</v>
      </c>
      <c r="BG370" s="68">
        <f t="shared" si="362"/>
        <v>-3.54806666366191</v>
      </c>
      <c r="BH370" s="31">
        <f t="shared" si="363"/>
        <v>-21.752200884582</v>
      </c>
      <c r="BI370" s="30" t="str">
        <f t="shared" ref="BI370:BI433" si="369">IMPRODUCT(AP370,BC370)</f>
        <v>0,703673797939181+0,880681633211191i</v>
      </c>
      <c r="BJ370" s="68">
        <f t="shared" si="364"/>
        <v>1.04062494635466</v>
      </c>
      <c r="BK370" s="31">
        <f t="shared" ref="BK370:BK433" si="370">(180/PI())*IMARGUMENT(BI370)</f>
        <v>51.374780998622</v>
      </c>
      <c r="BL370" s="32">
        <f t="shared" si="365"/>
        <v>-3.54806666366191</v>
      </c>
      <c r="BM370" s="31">
        <f t="shared" si="366"/>
        <v>-21.752200884582</v>
      </c>
      <c r="BO370">
        <f t="shared" si="367"/>
        <v>0</v>
      </c>
      <c r="BP370">
        <f t="shared" si="368"/>
        <v>0</v>
      </c>
    </row>
    <row r="371" spans="14:68">
      <c r="N371" s="7">
        <v>53</v>
      </c>
      <c r="O371" s="18">
        <f t="shared" si="318"/>
        <v>33884.4156139203</v>
      </c>
      <c r="P371" s="86" t="str">
        <f t="shared" si="319"/>
        <v>54,5454545454545</v>
      </c>
      <c r="Q371" s="4" t="str">
        <f t="shared" si="320"/>
        <v>1+433,546017831056i</v>
      </c>
      <c r="R371" s="4">
        <f t="shared" si="331"/>
        <v>433.547171109634</v>
      </c>
      <c r="S371" s="4">
        <f t="shared" si="332"/>
        <v>1.56848977066136</v>
      </c>
      <c r="T371" s="4" t="str">
        <f t="shared" si="321"/>
        <v>1+3,33830433729914i</v>
      </c>
      <c r="U371" s="4">
        <f t="shared" si="333"/>
        <v>3.48486382064353</v>
      </c>
      <c r="V371" s="4">
        <f t="shared" si="334"/>
        <v>1.27974942136642</v>
      </c>
      <c r="W371" t="str">
        <f t="shared" si="322"/>
        <v>1-9,5805928047488i</v>
      </c>
      <c r="X371" s="4">
        <f t="shared" si="335"/>
        <v>9.63264026580483</v>
      </c>
      <c r="Y371" s="4">
        <f t="shared" si="336"/>
        <v>-1.46679524777132</v>
      </c>
      <c r="Z371" t="str">
        <f t="shared" si="323"/>
        <v>0,990627317375536+0,661517122232655i</v>
      </c>
      <c r="AA371" s="4">
        <f t="shared" si="337"/>
        <v>1.19119577943243</v>
      </c>
      <c r="AB371" s="4">
        <f t="shared" si="338"/>
        <v>0.588770192750365</v>
      </c>
      <c r="AC371" s="67" t="str">
        <f t="shared" si="339"/>
        <v>-2,47702360332747-2,53663226413569i</v>
      </c>
      <c r="AD371" s="68">
        <f t="shared" si="340"/>
        <v>10.9934043165967</v>
      </c>
      <c r="AE371" s="31">
        <f t="shared" si="341"/>
        <v>-134.318827644575</v>
      </c>
      <c r="AF371" s="32" t="str">
        <f t="shared" si="342"/>
        <v>432,040091031901</v>
      </c>
      <c r="AG371" s="32" t="str">
        <f t="shared" si="324"/>
        <v>1+353,259718232712i</v>
      </c>
      <c r="AH371" s="32">
        <f t="shared" si="343"/>
        <v>353.261133619105</v>
      </c>
      <c r="AI371" s="32">
        <f t="shared" si="344"/>
        <v>1.56796555589944</v>
      </c>
      <c r="AJ371" s="32" t="str">
        <f t="shared" si="325"/>
        <v>1+3,33830433729914i</v>
      </c>
      <c r="AK371" s="32">
        <f t="shared" si="345"/>
        <v>3.48486382064353</v>
      </c>
      <c r="AL371" s="32">
        <f t="shared" si="346"/>
        <v>1.27974942136642</v>
      </c>
      <c r="AM371" s="32" t="str">
        <f t="shared" si="326"/>
        <v>1-0,985545042930301i</v>
      </c>
      <c r="AN371" s="32">
        <f t="shared" si="347"/>
        <v>1.40402956936259</v>
      </c>
      <c r="AO371" s="32">
        <f t="shared" si="348"/>
        <v>-0.778118196740734</v>
      </c>
      <c r="AP371" s="30" t="str">
        <f t="shared" si="349"/>
        <v>2,89227690516435-5,23858485407975i</v>
      </c>
      <c r="AQ371" s="32">
        <f t="shared" si="350"/>
        <v>15.5398051323016</v>
      </c>
      <c r="AR371" s="31">
        <f t="shared" si="351"/>
        <v>-61.096456731891</v>
      </c>
      <c r="AS371" t="str">
        <f t="shared" si="327"/>
        <v>-0,000201496259351621</v>
      </c>
      <c r="AT371" t="str">
        <f t="shared" si="328"/>
        <v>0,0478390934050456i</v>
      </c>
      <c r="AU371">
        <f t="shared" si="352"/>
        <v>0.0478390934050456</v>
      </c>
      <c r="AV371">
        <f t="shared" si="353"/>
        <v>1.5707963267949</v>
      </c>
      <c r="AW371" t="str">
        <f t="shared" si="329"/>
        <v>1+2,44927383674783i</v>
      </c>
      <c r="AX371">
        <f t="shared" si="354"/>
        <v>2.645551422176</v>
      </c>
      <c r="AY371">
        <f t="shared" si="355"/>
        <v>1.18316879408993</v>
      </c>
      <c r="AZ371" t="str">
        <f t="shared" si="330"/>
        <v>1+117,096134280263i</v>
      </c>
      <c r="BA371">
        <f t="shared" si="356"/>
        <v>117.100404198198</v>
      </c>
      <c r="BB371">
        <f t="shared" si="357"/>
        <v>1.56225654282402</v>
      </c>
      <c r="BC371" s="30" t="str">
        <f t="shared" si="358"/>
        <v>-0,0689943930981698+0,173198120047551i</v>
      </c>
      <c r="BD371" s="32">
        <f t="shared" si="359"/>
        <v>-14.589475318256</v>
      </c>
      <c r="BE371" s="31">
        <f t="shared" si="360"/>
        <v>111.720128067579</v>
      </c>
      <c r="BF371" s="30" t="str">
        <f t="shared" si="361"/>
        <v>0,610240679601685-0,25400242783245i</v>
      </c>
      <c r="BG371" s="68">
        <f t="shared" si="362"/>
        <v>-3.59607100165931</v>
      </c>
      <c r="BH371" s="31">
        <f t="shared" si="363"/>
        <v>-22.5986995769961</v>
      </c>
      <c r="BI371" s="30" t="str">
        <f t="shared" si="369"/>
        <v>0,70776215869252+0,862369905331911i</v>
      </c>
      <c r="BJ371" s="68">
        <f t="shared" si="364"/>
        <v>0.950329814045614</v>
      </c>
      <c r="BK371" s="31">
        <f t="shared" si="370"/>
        <v>50.6236713356882</v>
      </c>
      <c r="BL371" s="32">
        <f t="shared" si="365"/>
        <v>-3.59607100165931</v>
      </c>
      <c r="BM371" s="31">
        <f t="shared" si="366"/>
        <v>-22.5986995769961</v>
      </c>
      <c r="BO371">
        <f t="shared" si="367"/>
        <v>0</v>
      </c>
      <c r="BP371">
        <f t="shared" si="368"/>
        <v>0</v>
      </c>
    </row>
    <row r="372" spans="14:68">
      <c r="N372" s="7">
        <v>54</v>
      </c>
      <c r="O372" s="18">
        <f t="shared" si="318"/>
        <v>34673.6850452532</v>
      </c>
      <c r="P372" s="86" t="str">
        <f t="shared" si="319"/>
        <v>54,5454545454545</v>
      </c>
      <c r="Q372" s="4" t="str">
        <f t="shared" si="320"/>
        <v>1+443,644601877745i</v>
      </c>
      <c r="R372" s="4">
        <f t="shared" si="331"/>
        <v>443.645728904565</v>
      </c>
      <c r="S372" s="4">
        <f t="shared" si="332"/>
        <v>1.56854227410907</v>
      </c>
      <c r="T372" s="4" t="str">
        <f t="shared" si="321"/>
        <v>1+3,41606343445864i</v>
      </c>
      <c r="U372" s="4">
        <f t="shared" si="333"/>
        <v>3.5594226200671</v>
      </c>
      <c r="V372" s="4">
        <f t="shared" si="334"/>
        <v>1.28601828303018</v>
      </c>
      <c r="W372" t="str">
        <f t="shared" si="322"/>
        <v>1-9,80375347899482i</v>
      </c>
      <c r="X372" s="4">
        <f t="shared" si="335"/>
        <v>9.85462238124338</v>
      </c>
      <c r="Y372" s="4">
        <f t="shared" si="336"/>
        <v>-1.46914614008473</v>
      </c>
      <c r="Z372" t="str">
        <f t="shared" si="323"/>
        <v>0,990185596452103+0,676925835454404i</v>
      </c>
      <c r="AA372" s="4">
        <f t="shared" si="337"/>
        <v>1.19945658617844</v>
      </c>
      <c r="AB372" s="4">
        <f t="shared" si="338"/>
        <v>0.599658308887088</v>
      </c>
      <c r="AC372" s="67" t="str">
        <f t="shared" si="339"/>
        <v>-2,5299891385102-2,55473184104282i</v>
      </c>
      <c r="AD372" s="68">
        <f t="shared" si="340"/>
        <v>11.1151454041782</v>
      </c>
      <c r="AE372" s="31">
        <f t="shared" si="341"/>
        <v>-134.721195863985</v>
      </c>
      <c r="AF372" s="32" t="str">
        <f t="shared" si="342"/>
        <v>432,040091031901</v>
      </c>
      <c r="AG372" s="32" t="str">
        <f t="shared" si="324"/>
        <v>1+361,488194122607i</v>
      </c>
      <c r="AH372" s="32">
        <f t="shared" si="343"/>
        <v>361.489577290997</v>
      </c>
      <c r="AI372" s="32">
        <f t="shared" si="344"/>
        <v>1.56802999177929</v>
      </c>
      <c r="AJ372" s="32" t="str">
        <f t="shared" si="325"/>
        <v>1+3,41606343445864i</v>
      </c>
      <c r="AK372" s="32">
        <f t="shared" si="345"/>
        <v>3.5594226200671</v>
      </c>
      <c r="AL372" s="32">
        <f t="shared" si="346"/>
        <v>1.28601828303018</v>
      </c>
      <c r="AM372" s="32" t="str">
        <f t="shared" si="326"/>
        <v>1-1,00850133600761i</v>
      </c>
      <c r="AN372" s="32">
        <f t="shared" si="347"/>
        <v>1.42023763671054</v>
      </c>
      <c r="AO372" s="32">
        <f t="shared" si="348"/>
        <v>-0.789630814422891</v>
      </c>
      <c r="AP372" s="30" t="str">
        <f t="shared" si="349"/>
        <v>2,89212213066604-5,30465801675201i</v>
      </c>
      <c r="AQ372" s="32">
        <f t="shared" si="350"/>
        <v>15.6233768482491</v>
      </c>
      <c r="AR372" s="31">
        <f t="shared" si="351"/>
        <v>-61.4005937245064</v>
      </c>
      <c r="AS372" t="str">
        <f t="shared" si="327"/>
        <v>-0,000201496259351621</v>
      </c>
      <c r="AT372" t="str">
        <f t="shared" si="328"/>
        <v>0,0489534090384475i</v>
      </c>
      <c r="AU372">
        <f t="shared" si="352"/>
        <v>0.0489534090384475</v>
      </c>
      <c r="AV372">
        <f t="shared" si="353"/>
        <v>1.5707963267949</v>
      </c>
      <c r="AW372" t="str">
        <f t="shared" si="329"/>
        <v>1+2,50632475332064i</v>
      </c>
      <c r="AX372">
        <f t="shared" si="354"/>
        <v>2.69845581196131</v>
      </c>
      <c r="AY372">
        <f t="shared" si="355"/>
        <v>1.19116043075536</v>
      </c>
      <c r="AZ372" t="str">
        <f t="shared" si="330"/>
        <v>1+119,823653632159i</v>
      </c>
      <c r="BA372">
        <f t="shared" si="356"/>
        <v>119.82782635832</v>
      </c>
      <c r="BB372">
        <f t="shared" si="357"/>
        <v>1.56245092290906</v>
      </c>
      <c r="BC372" s="30" t="str">
        <f t="shared" si="358"/>
        <v>-0,0663155830203445+0,170324469531978i</v>
      </c>
      <c r="BD372" s="32">
        <f t="shared" si="359"/>
        <v>-14.7614716392715</v>
      </c>
      <c r="BE372" s="31">
        <f t="shared" si="360"/>
        <v>111.273378173742</v>
      </c>
      <c r="BF372" s="30" t="str">
        <f t="shared" si="361"/>
        <v>0,602911050377515-0,261500526439023i</v>
      </c>
      <c r="BG372" s="68">
        <f t="shared" si="362"/>
        <v>-3.64632623509324</v>
      </c>
      <c r="BH372" s="31">
        <f t="shared" si="363"/>
        <v>-23.4478176902427</v>
      </c>
      <c r="BI372" s="30" t="str">
        <f t="shared" si="369"/>
        <v>0,711720297490681+0,844380656831841i</v>
      </c>
      <c r="BJ372" s="68">
        <f t="shared" si="364"/>
        <v>0.861905208977596</v>
      </c>
      <c r="BK372" s="31">
        <f t="shared" si="370"/>
        <v>49.8727844492359</v>
      </c>
      <c r="BL372" s="32">
        <f t="shared" si="365"/>
        <v>-3.64632623509324</v>
      </c>
      <c r="BM372" s="31">
        <f t="shared" si="366"/>
        <v>-23.4478176902427</v>
      </c>
      <c r="BO372">
        <f t="shared" si="367"/>
        <v>0</v>
      </c>
      <c r="BP372">
        <f t="shared" si="368"/>
        <v>0</v>
      </c>
    </row>
    <row r="373" spans="14:68">
      <c r="N373" s="7">
        <v>55</v>
      </c>
      <c r="O373" s="18">
        <f t="shared" si="318"/>
        <v>35481.3389233576</v>
      </c>
      <c r="P373" s="86" t="str">
        <f t="shared" si="319"/>
        <v>54,5454545454545</v>
      </c>
      <c r="Q373" s="4" t="str">
        <f t="shared" si="320"/>
        <v>1+453,978412164683i</v>
      </c>
      <c r="R373" s="4">
        <f t="shared" si="331"/>
        <v>453.979513537304</v>
      </c>
      <c r="S373" s="4">
        <f t="shared" si="332"/>
        <v>1.56859358244441</v>
      </c>
      <c r="T373" s="4" t="str">
        <f t="shared" si="321"/>
        <v>1+3,49563377366807i</v>
      </c>
      <c r="U373" s="4">
        <f t="shared" si="333"/>
        <v>3.63585691132213</v>
      </c>
      <c r="V373" s="4">
        <f t="shared" si="334"/>
        <v>1.29216676079026</v>
      </c>
      <c r="W373" t="str">
        <f t="shared" si="322"/>
        <v>1-10,0321122331035i</v>
      </c>
      <c r="X373" s="4">
        <f t="shared" si="335"/>
        <v>10.081828993669</v>
      </c>
      <c r="Y373" s="4">
        <f t="shared" si="336"/>
        <v>-1.47144460952207</v>
      </c>
      <c r="Z373" t="str">
        <f t="shared" si="323"/>
        <v>0,989723057862905+0,69269346371429i</v>
      </c>
      <c r="AA373" s="4">
        <f t="shared" si="337"/>
        <v>1.20804634262846</v>
      </c>
      <c r="AB373" s="4">
        <f t="shared" si="338"/>
        <v>0.610649553063176</v>
      </c>
      <c r="AC373" s="67" t="str">
        <f t="shared" si="339"/>
        <v>-2,58391286308947-2,57191783202831i</v>
      </c>
      <c r="AD373" s="68">
        <f t="shared" si="340"/>
        <v>11.2356965048117</v>
      </c>
      <c r="AE373" s="31">
        <f t="shared" si="341"/>
        <v>-135.133298289959</v>
      </c>
      <c r="AF373" s="32" t="str">
        <f t="shared" si="342"/>
        <v>432,040091031901</v>
      </c>
      <c r="AG373" s="32" t="str">
        <f t="shared" si="324"/>
        <v>1+369,90833583789i</v>
      </c>
      <c r="AH373" s="32">
        <f t="shared" si="343"/>
        <v>369.90968752164</v>
      </c>
      <c r="AI373" s="32">
        <f t="shared" si="344"/>
        <v>1.56809296094165</v>
      </c>
      <c r="AJ373" s="32" t="str">
        <f t="shared" si="325"/>
        <v>1+3,49563377366807i</v>
      </c>
      <c r="AK373" s="32">
        <f t="shared" si="345"/>
        <v>3.63585691132213</v>
      </c>
      <c r="AL373" s="32">
        <f t="shared" si="346"/>
        <v>1.29216676079026</v>
      </c>
      <c r="AM373" s="32" t="str">
        <f t="shared" si="326"/>
        <v>1-1,03199234984237i</v>
      </c>
      <c r="AN373" s="32">
        <f t="shared" si="347"/>
        <v>1.43701364298784</v>
      </c>
      <c r="AO373" s="32">
        <f t="shared" si="348"/>
        <v>-0.801141188599391</v>
      </c>
      <c r="AP373" s="30" t="str">
        <f t="shared" si="349"/>
        <v>2,89197432206342-5,37354374076961i</v>
      </c>
      <c r="AQ373" s="32">
        <f t="shared" si="350"/>
        <v>15.7099203676651</v>
      </c>
      <c r="AR373" s="31">
        <f t="shared" si="351"/>
        <v>-61.711415626596</v>
      </c>
      <c r="AS373" t="str">
        <f t="shared" si="327"/>
        <v>-0,000201496259351621</v>
      </c>
      <c r="AT373" t="str">
        <f t="shared" si="328"/>
        <v>0,0500936804172967i</v>
      </c>
      <c r="AU373">
        <f t="shared" si="352"/>
        <v>0.0500936804172967</v>
      </c>
      <c r="AV373">
        <f t="shared" si="353"/>
        <v>1.5707963267949</v>
      </c>
      <c r="AW373" t="str">
        <f t="shared" si="329"/>
        <v>1+2,56470455645281i</v>
      </c>
      <c r="AX373">
        <f t="shared" si="354"/>
        <v>2.75276396770406</v>
      </c>
      <c r="AY373">
        <f t="shared" si="355"/>
        <v>1.19901971165754</v>
      </c>
      <c r="AZ373" t="str">
        <f t="shared" si="330"/>
        <v>1+122,614705071265i</v>
      </c>
      <c r="BA373">
        <f t="shared" si="356"/>
        <v>122.618782817778</v>
      </c>
      <c r="BB373">
        <f t="shared" si="357"/>
        <v>1.56264087897257</v>
      </c>
      <c r="BC373" s="30" t="str">
        <f t="shared" si="358"/>
        <v>-0,0637247681024275+0,16745759191699i</v>
      </c>
      <c r="BD373" s="32">
        <f t="shared" si="359"/>
        <v>-14.9345585362495</v>
      </c>
      <c r="BE373" s="31">
        <f t="shared" si="360"/>
        <v>110.833958228772</v>
      </c>
      <c r="BF373" s="30" t="str">
        <f t="shared" si="361"/>
        <v>0,595346414757082-0,268800958351796i</v>
      </c>
      <c r="BG373" s="68">
        <f t="shared" si="362"/>
        <v>-3.69886203143779</v>
      </c>
      <c r="BH373" s="31">
        <f t="shared" si="363"/>
        <v>-24.299340061187</v>
      </c>
      <c r="BI373" s="30" t="str">
        <f t="shared" si="369"/>
        <v>0,715550301858227+0,826710884627304i</v>
      </c>
      <c r="BJ373" s="68">
        <f t="shared" si="364"/>
        <v>0.775361831415658</v>
      </c>
      <c r="BK373" s="31">
        <f t="shared" si="370"/>
        <v>49.1225426021757</v>
      </c>
      <c r="BL373" s="32">
        <f t="shared" si="365"/>
        <v>-3.69886203143779</v>
      </c>
      <c r="BM373" s="31">
        <f t="shared" si="366"/>
        <v>-24.299340061187</v>
      </c>
      <c r="BO373">
        <f t="shared" si="367"/>
        <v>0</v>
      </c>
      <c r="BP373">
        <f t="shared" si="368"/>
        <v>0</v>
      </c>
    </row>
    <row r="374" spans="14:68">
      <c r="N374" s="7">
        <v>56</v>
      </c>
      <c r="O374" s="18">
        <f t="shared" si="318"/>
        <v>36307.8054770102</v>
      </c>
      <c r="P374" s="86" t="str">
        <f t="shared" si="319"/>
        <v>54,5454545454545</v>
      </c>
      <c r="Q374" s="4" t="str">
        <f t="shared" si="320"/>
        <v>1+464,552927814864i</v>
      </c>
      <c r="R374" s="4">
        <f t="shared" si="331"/>
        <v>464.554004117242</v>
      </c>
      <c r="S374" s="4">
        <f t="shared" si="332"/>
        <v>1.56864372287066</v>
      </c>
      <c r="T374" s="4" t="str">
        <f t="shared" si="321"/>
        <v>1+3,57705754417445i</v>
      </c>
      <c r="U374" s="4">
        <f t="shared" si="333"/>
        <v>3.71420794710465</v>
      </c>
      <c r="V374" s="4">
        <f t="shared" si="334"/>
        <v>1.29819625444887</v>
      </c>
      <c r="W374" t="str">
        <f t="shared" si="322"/>
        <v>1-10,2657901459088i</v>
      </c>
      <c r="X374" s="4">
        <f t="shared" si="335"/>
        <v>10.314380607668</v>
      </c>
      <c r="Y374" s="4">
        <f t="shared" si="336"/>
        <v>-1.47369177756723</v>
      </c>
      <c r="Z374" t="str">
        <f t="shared" si="323"/>
        <v>0,98923872050158+0,708828367217514i</v>
      </c>
      <c r="AA374" s="4">
        <f t="shared" si="337"/>
        <v>1.21697612972147</v>
      </c>
      <c r="AB374" s="4">
        <f t="shared" si="338"/>
        <v>0.621740099735924</v>
      </c>
      <c r="AC374" s="67" t="str">
        <f t="shared" si="339"/>
        <v>-2,63876231006432-2,58813894376431i</v>
      </c>
      <c r="AD374" s="68">
        <f t="shared" si="340"/>
        <v>11.3549933128547</v>
      </c>
      <c r="AE374" s="31">
        <f t="shared" si="341"/>
        <v>-135.554901347212</v>
      </c>
      <c r="AF374" s="32" t="str">
        <f t="shared" si="342"/>
        <v>432,040091031901</v>
      </c>
      <c r="AG374" s="32" t="str">
        <f t="shared" si="324"/>
        <v>1+378,524607849148i</v>
      </c>
      <c r="AH374" s="32">
        <f t="shared" si="343"/>
        <v>378.525928764928</v>
      </c>
      <c r="AI374" s="32">
        <f t="shared" si="344"/>
        <v>1.56815449677159</v>
      </c>
      <c r="AJ374" s="32" t="str">
        <f t="shared" si="325"/>
        <v>1+3,57705754417445i</v>
      </c>
      <c r="AK374" s="32">
        <f t="shared" si="345"/>
        <v>3.71420794710465</v>
      </c>
      <c r="AL374" s="32">
        <f t="shared" si="346"/>
        <v>1.29819625444887</v>
      </c>
      <c r="AM374" s="32" t="str">
        <f t="shared" si="326"/>
        <v>1-1,05603053968104i</v>
      </c>
      <c r="AN374" s="32">
        <f t="shared" si="347"/>
        <v>1.4543728891653</v>
      </c>
      <c r="AO374" s="32">
        <f t="shared" si="348"/>
        <v>-0.812643223339854</v>
      </c>
      <c r="AP374" s="30" t="str">
        <f t="shared" si="349"/>
        <v>2,8918331658487-5,4452785528282i</v>
      </c>
      <c r="AQ374" s="32">
        <f t="shared" si="350"/>
        <v>15.799408007869</v>
      </c>
      <c r="AR374" s="31">
        <f t="shared" si="351"/>
        <v>-62.0284948771427</v>
      </c>
      <c r="AS374" t="str">
        <f t="shared" si="327"/>
        <v>-0,000201496259351621</v>
      </c>
      <c r="AT374" t="str">
        <f t="shared" si="328"/>
        <v>0,0512605121285714i</v>
      </c>
      <c r="AU374">
        <f t="shared" si="352"/>
        <v>0.0512605121285714</v>
      </c>
      <c r="AV374">
        <f t="shared" si="353"/>
        <v>1.5707963267949</v>
      </c>
      <c r="AW374" t="str">
        <f t="shared" si="329"/>
        <v>1+2,62444419988867i</v>
      </c>
      <c r="AX374">
        <f t="shared" si="354"/>
        <v>2.80850625036322</v>
      </c>
      <c r="AY374">
        <f t="shared" si="355"/>
        <v>1.20674691922507</v>
      </c>
      <c r="AZ374" t="str">
        <f t="shared" si="330"/>
        <v>1+125,470768449997i</v>
      </c>
      <c r="BA374">
        <f t="shared" si="356"/>
        <v>125.474753378649</v>
      </c>
      <c r="BB374">
        <f t="shared" si="357"/>
        <v>1.5628265116769</v>
      </c>
      <c r="BC374" s="30" t="str">
        <f t="shared" si="358"/>
        <v>-0,0612202958691893+0,164600078467541i</v>
      </c>
      <c r="BD374" s="32">
        <f t="shared" si="359"/>
        <v>-15.1086999323371</v>
      </c>
      <c r="BE374" s="31">
        <f t="shared" si="360"/>
        <v>110.401857818228</v>
      </c>
      <c r="BF374" s="30" t="str">
        <f t="shared" si="361"/>
        <v>0,587553682579107-0,275893851405955i</v>
      </c>
      <c r="BG374" s="68">
        <f t="shared" si="362"/>
        <v>-3.75370661948244</v>
      </c>
      <c r="BH374" s="31">
        <f t="shared" si="363"/>
        <v>-25.1530435289834</v>
      </c>
      <c r="BI374" s="30" t="str">
        <f t="shared" si="369"/>
        <v>0,719254395055548+0,809357530108027i</v>
      </c>
      <c r="BJ374" s="68">
        <f t="shared" si="364"/>
        <v>0.69070807553191</v>
      </c>
      <c r="BK374" s="31">
        <f t="shared" si="370"/>
        <v>48.3733629410858</v>
      </c>
      <c r="BL374" s="32">
        <f t="shared" si="365"/>
        <v>-3.75370661948244</v>
      </c>
      <c r="BM374" s="31">
        <f t="shared" si="366"/>
        <v>-25.1530435289834</v>
      </c>
      <c r="BO374">
        <f t="shared" si="367"/>
        <v>0</v>
      </c>
      <c r="BP374">
        <f t="shared" si="368"/>
        <v>0</v>
      </c>
    </row>
    <row r="375" spans="14:68">
      <c r="N375" s="7">
        <v>57</v>
      </c>
      <c r="O375" s="18">
        <f t="shared" si="318"/>
        <v>37153.5229097174</v>
      </c>
      <c r="P375" s="86" t="str">
        <f t="shared" si="319"/>
        <v>54,5454545454545</v>
      </c>
      <c r="Q375" s="4" t="str">
        <f t="shared" si="320"/>
        <v>1+475,373755576459i</v>
      </c>
      <c r="R375" s="4">
        <f t="shared" si="331"/>
        <v>475.374807379258</v>
      </c>
      <c r="S375" s="4">
        <f t="shared" si="332"/>
        <v>1.56869272197192</v>
      </c>
      <c r="T375" s="4" t="str">
        <f t="shared" si="321"/>
        <v>1+3,66037791793874i</v>
      </c>
      <c r="U375" s="4">
        <f t="shared" si="333"/>
        <v>3.79451795385574</v>
      </c>
      <c r="V375" s="4">
        <f t="shared" si="334"/>
        <v>1.30410820662691</v>
      </c>
      <c r="W375" t="str">
        <f t="shared" si="322"/>
        <v>1-10,5049111165334i</v>
      </c>
      <c r="X375" s="4">
        <f t="shared" si="335"/>
        <v>10.5524005594114</v>
      </c>
      <c r="Y375" s="4">
        <f t="shared" si="336"/>
        <v>-1.47588874486723</v>
      </c>
      <c r="Z375" t="str">
        <f t="shared" si="323"/>
        <v>0,98873155702365+0,725339100903494i</v>
      </c>
      <c r="AA375" s="4">
        <f t="shared" si="337"/>
        <v>1.22625727445504</v>
      </c>
      <c r="AB375" s="4">
        <f t="shared" si="338"/>
        <v>0.632925925697649</v>
      </c>
      <c r="AC375" s="67" t="str">
        <f t="shared" si="339"/>
        <v>-2,694501877979-2,60334503944053i</v>
      </c>
      <c r="AD375" s="68">
        <f t="shared" si="340"/>
        <v>11.472973727151</v>
      </c>
      <c r="AE375" s="31">
        <f t="shared" si="341"/>
        <v>-135.985756452422</v>
      </c>
      <c r="AF375" s="32" t="str">
        <f t="shared" si="342"/>
        <v>432,040091031901</v>
      </c>
      <c r="AG375" s="32" t="str">
        <f t="shared" si="324"/>
        <v>1+387,341578617855i</v>
      </c>
      <c r="AH375" s="32">
        <f t="shared" si="343"/>
        <v>387.342869466022</v>
      </c>
      <c r="AI375" s="32">
        <f t="shared" si="344"/>
        <v>1.56821463189436</v>
      </c>
      <c r="AJ375" s="32" t="str">
        <f t="shared" si="325"/>
        <v>1+3,66037791793874i</v>
      </c>
      <c r="AK375" s="32">
        <f t="shared" si="345"/>
        <v>3.79451795385574</v>
      </c>
      <c r="AL375" s="32">
        <f t="shared" si="346"/>
        <v>1.30410820662691</v>
      </c>
      <c r="AM375" s="32" t="str">
        <f t="shared" si="326"/>
        <v>1-1,08062865089008i</v>
      </c>
      <c r="AN375" s="32">
        <f t="shared" si="347"/>
        <v>1.47233090068928</v>
      </c>
      <c r="AO375" s="32">
        <f t="shared" si="348"/>
        <v>-0.82413084477617</v>
      </c>
      <c r="AP375" s="30" t="str">
        <f t="shared" si="349"/>
        <v>2,89169836262351-5,51990049007615i</v>
      </c>
      <c r="AQ375" s="32">
        <f t="shared" si="350"/>
        <v>15.8918104483559</v>
      </c>
      <c r="AR375" s="31">
        <f t="shared" si="351"/>
        <v>-62.3514026823383</v>
      </c>
      <c r="AS375" t="str">
        <f t="shared" si="327"/>
        <v>-0,000201496259351621</v>
      </c>
      <c r="AT375" t="str">
        <f t="shared" si="328"/>
        <v>0,0524545228418898i</v>
      </c>
      <c r="AU375">
        <f t="shared" si="352"/>
        <v>0.0524545228418898</v>
      </c>
      <c r="AV375">
        <f t="shared" si="353"/>
        <v>1.5707963267949</v>
      </c>
      <c r="AW375" t="str">
        <f t="shared" si="329"/>
        <v>1+2,68557535837796i</v>
      </c>
      <c r="AX375">
        <f t="shared" si="354"/>
        <v>2.8657136991554</v>
      </c>
      <c r="AY375">
        <f t="shared" si="355"/>
        <v>1.21434245839153</v>
      </c>
      <c r="AZ375" t="str">
        <f t="shared" si="330"/>
        <v>1+128,393358090963i</v>
      </c>
      <c r="BA375">
        <f t="shared" si="356"/>
        <v>128.397252314348</v>
      </c>
      <c r="BB375">
        <f t="shared" si="357"/>
        <v>1.56300791939577</v>
      </c>
      <c r="BC375" s="30" t="str">
        <f t="shared" si="358"/>
        <v>-0,0588004451706387+0,161754378099552i</v>
      </c>
      <c r="BD375" s="32">
        <f t="shared" si="359"/>
        <v>-15.283860448359</v>
      </c>
      <c r="BE375" s="31">
        <f t="shared" si="360"/>
        <v>109.977059377526</v>
      </c>
      <c r="BF375" s="30" t="str">
        <f t="shared" si="361"/>
        <v>0,579540367771544-0,282769628308691i</v>
      </c>
      <c r="BG375" s="68">
        <f t="shared" si="362"/>
        <v>-3.81088672120799</v>
      </c>
      <c r="BH375" s="31">
        <f t="shared" si="363"/>
        <v>-26.0086970748962</v>
      </c>
      <c r="BI375" s="30" t="str">
        <f t="shared" si="369"/>
        <v>0,722834919922211+0,792317476411763i</v>
      </c>
      <c r="BJ375" s="68">
        <f t="shared" si="364"/>
        <v>0.607949999996933</v>
      </c>
      <c r="BK375" s="31">
        <f t="shared" si="370"/>
        <v>47.6256566951875</v>
      </c>
      <c r="BL375" s="32">
        <f t="shared" si="365"/>
        <v>-3.81088672120799</v>
      </c>
      <c r="BM375" s="31">
        <f t="shared" si="366"/>
        <v>-26.0086970748962</v>
      </c>
      <c r="BO375">
        <f t="shared" si="367"/>
        <v>0</v>
      </c>
      <c r="BP375">
        <f t="shared" si="368"/>
        <v>0</v>
      </c>
    </row>
    <row r="376" spans="14:68">
      <c r="N376" s="7">
        <v>58</v>
      </c>
      <c r="O376" s="18">
        <f t="shared" si="318"/>
        <v>38018.9396320561</v>
      </c>
      <c r="P376" s="86" t="str">
        <f t="shared" si="319"/>
        <v>54,5454545454545</v>
      </c>
      <c r="Q376" s="4" t="str">
        <f t="shared" si="320"/>
        <v>1+486,446632795572i</v>
      </c>
      <c r="R376" s="4">
        <f t="shared" si="331"/>
        <v>486.447660656468</v>
      </c>
      <c r="S376" s="4">
        <f t="shared" si="332"/>
        <v>1.56874060572722</v>
      </c>
      <c r="T376" s="4" t="str">
        <f t="shared" si="321"/>
        <v>1+3,74563907252591i</v>
      </c>
      <c r="U376" s="4">
        <f t="shared" si="333"/>
        <v>3.87683015640778</v>
      </c>
      <c r="V376" s="4">
        <f t="shared" si="334"/>
        <v>1.30990409822152</v>
      </c>
      <c r="W376" t="str">
        <f t="shared" si="322"/>
        <v>1-10,7496019300807i</v>
      </c>
      <c r="X376" s="4">
        <f t="shared" si="335"/>
        <v>10.7960150822049</v>
      </c>
      <c r="Y376" s="4">
        <f t="shared" si="336"/>
        <v>-1.47803659140432</v>
      </c>
      <c r="Z376" t="str">
        <f t="shared" si="323"/>
        <v>0,98820049166738+0,742234418981765i</v>
      </c>
      <c r="AA376" s="4">
        <f t="shared" si="337"/>
        <v>1.2359013489971</v>
      </c>
      <c r="AB376" s="4">
        <f t="shared" si="338"/>
        <v>0.644202815492495</v>
      </c>
      <c r="AC376" s="67" t="str">
        <f t="shared" si="339"/>
        <v>-2,75109286804363-2,6174873734462i</v>
      </c>
      <c r="AD376" s="68">
        <f t="shared" si="340"/>
        <v>11.5895779475345</v>
      </c>
      <c r="AE376" s="31">
        <f t="shared" si="341"/>
        <v>-136.425600595517</v>
      </c>
      <c r="AF376" s="32" t="str">
        <f t="shared" si="342"/>
        <v>432,040091031901</v>
      </c>
      <c r="AG376" s="32" t="str">
        <f t="shared" si="324"/>
        <v>1+396,363923018614i</v>
      </c>
      <c r="AH376" s="32">
        <f t="shared" si="343"/>
        <v>396.365184483584</v>
      </c>
      <c r="AI376" s="32">
        <f t="shared" si="344"/>
        <v>1.56827339819267</v>
      </c>
      <c r="AJ376" s="32" t="str">
        <f t="shared" si="325"/>
        <v>1+3,74563907252591i</v>
      </c>
      <c r="AK376" s="32">
        <f t="shared" si="345"/>
        <v>3.87683015640778</v>
      </c>
      <c r="AL376" s="32">
        <f t="shared" si="346"/>
        <v>1.30990409822152</v>
      </c>
      <c r="AM376" s="32" t="str">
        <f t="shared" si="326"/>
        <v>1-1,10579972571362i</v>
      </c>
      <c r="AN376" s="32">
        <f t="shared" si="347"/>
        <v>1.49090342859231</v>
      </c>
      <c r="AO376" s="32">
        <f t="shared" si="348"/>
        <v>-0.835598017080716</v>
      </c>
      <c r="AP376" s="30" t="str">
        <f t="shared" si="349"/>
        <v>2,89156962646383-5,59744912029316i</v>
      </c>
      <c r="AQ376" s="32">
        <f t="shared" si="350"/>
        <v>15.9870967407301</v>
      </c>
      <c r="AR376" s="31">
        <f t="shared" si="351"/>
        <v>-62.6797101923215</v>
      </c>
      <c r="AS376" t="str">
        <f t="shared" si="327"/>
        <v>-0,000201496259351621</v>
      </c>
      <c r="AT376" t="str">
        <f t="shared" si="328"/>
        <v>0,0536763456375364i</v>
      </c>
      <c r="AU376">
        <f t="shared" si="352"/>
        <v>0.0536763456375364</v>
      </c>
      <c r="AV376">
        <f t="shared" si="353"/>
        <v>1.5707963267949</v>
      </c>
      <c r="AW376" t="str">
        <f t="shared" si="329"/>
        <v>1+2,74813044447003i</v>
      </c>
      <c r="AX376">
        <f t="shared" si="354"/>
        <v>2.92441805148016</v>
      </c>
      <c r="AY376">
        <f t="shared" si="355"/>
        <v>1.22180684978234</v>
      </c>
      <c r="AZ376" t="str">
        <f t="shared" si="330"/>
        <v>1+131,384023589876i</v>
      </c>
      <c r="BA376">
        <f t="shared" si="356"/>
        <v>131.387829172512</v>
      </c>
      <c r="BB376">
        <f t="shared" si="357"/>
        <v>1.56318519826615</v>
      </c>
      <c r="BC376" s="30" t="str">
        <f t="shared" si="358"/>
        <v>-0,0564634358261201+0,158922798645627i</v>
      </c>
      <c r="BD376" s="32">
        <f t="shared" si="359"/>
        <v>-15.4600054293053</v>
      </c>
      <c r="BE376" s="31">
        <f t="shared" si="360"/>
        <v>109.559538585268</v>
      </c>
      <c r="BF376" s="30" t="str">
        <f t="shared" si="361"/>
        <v>0,57131457441414-0,289419047587259i</v>
      </c>
      <c r="BG376" s="68">
        <f t="shared" si="362"/>
        <v>-3.87042748177075</v>
      </c>
      <c r="BH376" s="31">
        <f t="shared" si="363"/>
        <v>-26.8660620102489</v>
      </c>
      <c r="BI376" s="30" t="str">
        <f t="shared" si="369"/>
        <v>0,726294323432893+0,775587546709967i</v>
      </c>
      <c r="BJ376" s="68">
        <f t="shared" si="364"/>
        <v>0.527091311424834</v>
      </c>
      <c r="BK376" s="31">
        <f t="shared" si="370"/>
        <v>46.8798283929469</v>
      </c>
      <c r="BL376" s="32">
        <f t="shared" si="365"/>
        <v>-3.87042748177075</v>
      </c>
      <c r="BM376" s="31">
        <f t="shared" si="366"/>
        <v>-26.8660620102489</v>
      </c>
      <c r="BO376">
        <f t="shared" si="367"/>
        <v>0</v>
      </c>
      <c r="BP376">
        <f t="shared" si="368"/>
        <v>0</v>
      </c>
    </row>
    <row r="377" spans="14:68">
      <c r="N377" s="7">
        <v>59</v>
      </c>
      <c r="O377" s="18">
        <f t="shared" si="318"/>
        <v>38904.5144994281</v>
      </c>
      <c r="P377" s="86" t="str">
        <f t="shared" si="319"/>
        <v>54,5454545454545</v>
      </c>
      <c r="Q377" s="4" t="str">
        <f t="shared" si="320"/>
        <v>1+497,777430458279i</v>
      </c>
      <c r="R377" s="4">
        <f t="shared" si="331"/>
        <v>497.778434922252</v>
      </c>
      <c r="S377" s="4">
        <f t="shared" si="332"/>
        <v>1.5687873995243</v>
      </c>
      <c r="T377" s="4" t="str">
        <f t="shared" si="321"/>
        <v>1+3,83288621452875i</v>
      </c>
      <c r="U377" s="4">
        <f t="shared" si="333"/>
        <v>3.96118880306462</v>
      </c>
      <c r="V377" s="4">
        <f t="shared" si="334"/>
        <v>1.31558544407675</v>
      </c>
      <c r="W377" t="str">
        <f t="shared" si="322"/>
        <v>1-10,9999923248593i</v>
      </c>
      <c r="X377" s="4">
        <f t="shared" si="335"/>
        <v>11.0453533735668</v>
      </c>
      <c r="Y377" s="4">
        <f t="shared" si="336"/>
        <v>-1.48013637668312</v>
      </c>
      <c r="Z377" t="str">
        <f t="shared" si="323"/>
        <v>0,987644397971949+0,759523279573618i</v>
      </c>
      <c r="AA377" s="4">
        <f t="shared" si="337"/>
        <v>1.24592016961748</v>
      </c>
      <c r="AB377" s="4">
        <f t="shared" si="338"/>
        <v>0.655566367828887</v>
      </c>
      <c r="AC377" s="67" t="str">
        <f t="shared" si="339"/>
        <v>-2,80849354189807-2,63051882671969i</v>
      </c>
      <c r="AD377" s="68">
        <f t="shared" si="340"/>
        <v>11.7047485685455</v>
      </c>
      <c r="AE377" s="31">
        <f t="shared" si="341"/>
        <v>-136.874156966649</v>
      </c>
      <c r="AF377" s="32" t="str">
        <f t="shared" si="342"/>
        <v>432,040091031901</v>
      </c>
      <c r="AG377" s="32" t="str">
        <f t="shared" si="324"/>
        <v>1+405,596424817857i</v>
      </c>
      <c r="AH377" s="32">
        <f t="shared" si="343"/>
        <v>405.597657568467</v>
      </c>
      <c r="AI377" s="32">
        <f t="shared" si="344"/>
        <v>1.56833082682354</v>
      </c>
      <c r="AJ377" s="32" t="str">
        <f t="shared" si="325"/>
        <v>1+3,83288621452875i</v>
      </c>
      <c r="AK377" s="32">
        <f t="shared" si="345"/>
        <v>3.96118880306462</v>
      </c>
      <c r="AL377" s="32">
        <f t="shared" si="346"/>
        <v>1.31558544407675</v>
      </c>
      <c r="AM377" s="32" t="str">
        <f t="shared" si="326"/>
        <v>1-1,13155711018872i</v>
      </c>
      <c r="AN377" s="32">
        <f t="shared" si="347"/>
        <v>1.51010645108835</v>
      </c>
      <c r="AO377" s="32">
        <f t="shared" si="348"/>
        <v>-0.847038758200336</v>
      </c>
      <c r="AP377" s="30" t="str">
        <f t="shared" si="349"/>
        <v>2,89144668431367-5,67796556288098i</v>
      </c>
      <c r="AQ377" s="32">
        <f t="shared" si="350"/>
        <v>16.0852343273904</v>
      </c>
      <c r="AR377" s="31">
        <f t="shared" si="351"/>
        <v>-63.0129896516914</v>
      </c>
      <c r="AS377" t="str">
        <f t="shared" si="327"/>
        <v>-0,000201496259351621</v>
      </c>
      <c r="AT377" t="str">
        <f t="shared" si="328"/>
        <v>0,0549266283421307i</v>
      </c>
      <c r="AU377">
        <f t="shared" si="352"/>
        <v>0.0549266283421307</v>
      </c>
      <c r="AV377">
        <f t="shared" si="353"/>
        <v>1.5707963267949</v>
      </c>
      <c r="AW377" t="str">
        <f t="shared" si="329"/>
        <v>1+2,81214262569958i</v>
      </c>
      <c r="AX377">
        <f t="shared" si="354"/>
        <v>2.98465176315036</v>
      </c>
      <c r="AY377">
        <f t="shared" si="355"/>
        <v>1.22914072297639</v>
      </c>
      <c r="AZ377" t="str">
        <f t="shared" si="330"/>
        <v>1+134,444350637169i</v>
      </c>
      <c r="BA377">
        <f t="shared" si="356"/>
        <v>134.448069596592</v>
      </c>
      <c r="BB377">
        <f t="shared" si="357"/>
        <v>1.56335844223906</v>
      </c>
      <c r="BC377" s="30" t="str">
        <f t="shared" si="358"/>
        <v>-0,0542074378016499+0,156107508662967i</v>
      </c>
      <c r="BD377" s="32">
        <f t="shared" si="359"/>
        <v>-15.6371009669206</v>
      </c>
      <c r="BE377" s="31">
        <f t="shared" si="360"/>
        <v>109.149264752239</v>
      </c>
      <c r="BF377" s="30" t="str">
        <f t="shared" si="361"/>
        <v>0,562884979519017-0,295833244236263i</v>
      </c>
      <c r="BG377" s="68">
        <f t="shared" si="362"/>
        <v>-3.93235239837517</v>
      </c>
      <c r="BH377" s="31">
        <f t="shared" si="363"/>
        <v>-27.7248922144094</v>
      </c>
      <c r="BI377" s="30" t="str">
        <f t="shared" si="369"/>
        <v>0,729635141998751+0,759164503409784i</v>
      </c>
      <c r="BJ377" s="68">
        <f t="shared" si="364"/>
        <v>0.448133360469757</v>
      </c>
      <c r="BK377" s="31">
        <f t="shared" si="370"/>
        <v>46.1362751005479</v>
      </c>
      <c r="BL377" s="32">
        <f t="shared" si="365"/>
        <v>-3.93235239837517</v>
      </c>
      <c r="BM377" s="31">
        <f t="shared" si="366"/>
        <v>-27.7248922144094</v>
      </c>
      <c r="BO377">
        <f t="shared" si="367"/>
        <v>0</v>
      </c>
      <c r="BP377">
        <f t="shared" si="368"/>
        <v>0</v>
      </c>
    </row>
    <row r="378" spans="14:68">
      <c r="N378" s="7">
        <v>60</v>
      </c>
      <c r="O378" s="18">
        <f t="shared" si="318"/>
        <v>39810.7170553497</v>
      </c>
      <c r="P378" s="86" t="str">
        <f t="shared" si="319"/>
        <v>54,5454545454545</v>
      </c>
      <c r="Q378" s="4" t="str">
        <f t="shared" si="320"/>
        <v>1+509,372156303476i</v>
      </c>
      <c r="R378" s="4">
        <f t="shared" si="331"/>
        <v>509.373137903102</v>
      </c>
      <c r="S378" s="4">
        <f t="shared" si="332"/>
        <v>1.56883312817301</v>
      </c>
      <c r="T378" s="4" t="str">
        <f t="shared" si="321"/>
        <v>1+3,92216560353677i</v>
      </c>
      <c r="U378" s="4">
        <f t="shared" si="333"/>
        <v>4.04763919112944</v>
      </c>
      <c r="V378" s="4">
        <f t="shared" si="334"/>
        <v>1.32115378886569</v>
      </c>
      <c r="W378" t="str">
        <f t="shared" si="322"/>
        <v>1-11,2562150611706i</v>
      </c>
      <c r="X378" s="4">
        <f t="shared" si="335"/>
        <v>11.3005476638667</v>
      </c>
      <c r="Y378" s="4">
        <f t="shared" si="336"/>
        <v>-1.48218913993139</v>
      </c>
      <c r="Z378" t="str">
        <f t="shared" si="323"/>
        <v>0,987062096388073+0,777214849461777i</v>
      </c>
      <c r="AA378" s="4">
        <f t="shared" si="337"/>
        <v>1.25632579546466</v>
      </c>
      <c r="AB378" s="4">
        <f t="shared" si="338"/>
        <v>0.667012002986098</v>
      </c>
      <c r="AC378" s="67" t="str">
        <f t="shared" si="339"/>
        <v>-2,86665920044054-2,64239414071911i</v>
      </c>
      <c r="AD378" s="68">
        <f t="shared" si="340"/>
        <v>11.8184306697329</v>
      </c>
      <c r="AE378" s="31">
        <f t="shared" si="341"/>
        <v>-137.331135628763</v>
      </c>
      <c r="AF378" s="32" t="str">
        <f t="shared" si="342"/>
        <v>432,040091031901</v>
      </c>
      <c r="AG378" s="32" t="str">
        <f t="shared" si="324"/>
        <v>1+415,043979210239i</v>
      </c>
      <c r="AH378" s="32">
        <f t="shared" si="343"/>
        <v>415.045183900102</v>
      </c>
      <c r="AI378" s="32">
        <f t="shared" si="344"/>
        <v>1.5683869482349</v>
      </c>
      <c r="AJ378" s="32" t="str">
        <f t="shared" si="325"/>
        <v>1+3,92216560353677i</v>
      </c>
      <c r="AK378" s="32">
        <f t="shared" si="345"/>
        <v>4.04763919112944</v>
      </c>
      <c r="AL378" s="32">
        <f t="shared" si="346"/>
        <v>1.32115378886569</v>
      </c>
      <c r="AM378" s="32" t="str">
        <f t="shared" si="326"/>
        <v>1-1,15791446122158i</v>
      </c>
      <c r="AN378" s="32">
        <f t="shared" si="347"/>
        <v>1.52995617568153</v>
      </c>
      <c r="AO378" s="32">
        <f t="shared" si="348"/>
        <v>-0.858447155246739</v>
      </c>
      <c r="AP378" s="30" t="str">
        <f t="shared" si="349"/>
        <v>2,891329275406-5,7614925106752i</v>
      </c>
      <c r="AQ378" s="32">
        <f t="shared" si="350"/>
        <v>16.1861890688528</v>
      </c>
      <c r="AR378" s="31">
        <f t="shared" si="351"/>
        <v>-63.3508155181912</v>
      </c>
      <c r="AS378" t="str">
        <f t="shared" si="327"/>
        <v>-0,000201496259351621</v>
      </c>
      <c r="AT378" t="str">
        <f t="shared" si="328"/>
        <v>0,0562060338721117i</v>
      </c>
      <c r="AU378">
        <f t="shared" si="352"/>
        <v>0.0562060338721117</v>
      </c>
      <c r="AV378">
        <f t="shared" si="353"/>
        <v>1.5707963267949</v>
      </c>
      <c r="AW378" t="str">
        <f t="shared" si="329"/>
        <v>1+2,87764584217237i</v>
      </c>
      <c r="AX378">
        <f t="shared" si="354"/>
        <v>3.04644802893007</v>
      </c>
      <c r="AY378">
        <f t="shared" si="355"/>
        <v>1.23634480986678</v>
      </c>
      <c r="AZ378" t="str">
        <f t="shared" si="330"/>
        <v>1+137,575961858751i</v>
      </c>
      <c r="BA378">
        <f t="shared" si="356"/>
        <v>137.579596166585</v>
      </c>
      <c r="BB378">
        <f t="shared" si="357"/>
        <v>1.56352774312913</v>
      </c>
      <c r="BC378" s="30" t="str">
        <f t="shared" si="358"/>
        <v>-0,0520305799045046+0,153310539724719i</v>
      </c>
      <c r="BD378" s="32">
        <f t="shared" si="359"/>
        <v>-15.8151139185871</v>
      </c>
      <c r="BE378" s="31">
        <f t="shared" si="360"/>
        <v>108.746201204643</v>
      </c>
      <c r="BF378" s="30" t="str">
        <f t="shared" si="361"/>
        <v>0,554260812466587-0,30200376974849i</v>
      </c>
      <c r="BG378" s="68">
        <f t="shared" si="362"/>
        <v>-3.99668324885417</v>
      </c>
      <c r="BH378" s="31">
        <f t="shared" si="363"/>
        <v>-28.5849344241196</v>
      </c>
      <c r="BI378" s="30" t="str">
        <f t="shared" si="369"/>
        <v>0,732859987537296+0,743045048180265i</v>
      </c>
      <c r="BJ378" s="68">
        <f t="shared" si="364"/>
        <v>0.371075150265703</v>
      </c>
      <c r="BK378" s="31">
        <f t="shared" si="370"/>
        <v>45.395385686452</v>
      </c>
      <c r="BL378" s="32">
        <f t="shared" si="365"/>
        <v>-3.99668324885417</v>
      </c>
      <c r="BM378" s="31">
        <f t="shared" si="366"/>
        <v>-28.5849344241196</v>
      </c>
      <c r="BO378">
        <f t="shared" si="367"/>
        <v>0</v>
      </c>
      <c r="BP378">
        <f t="shared" si="368"/>
        <v>0</v>
      </c>
    </row>
    <row r="379" spans="14:68">
      <c r="N379" s="7">
        <v>61</v>
      </c>
      <c r="O379" s="18">
        <f t="shared" si="318"/>
        <v>40738.0277804114</v>
      </c>
      <c r="P379" s="86" t="str">
        <f t="shared" si="319"/>
        <v>54,5454545454545</v>
      </c>
      <c r="Q379" s="4" t="str">
        <f t="shared" si="320"/>
        <v>1+521,236958008286i</v>
      </c>
      <c r="R379" s="4">
        <f t="shared" si="331"/>
        <v>521.237917264018</v>
      </c>
      <c r="S379" s="4">
        <f t="shared" si="332"/>
        <v>1.56887781591853</v>
      </c>
      <c r="T379" s="4" t="str">
        <f t="shared" si="321"/>
        <v>1+4,01352457666381i</v>
      </c>
      <c r="U379" s="4">
        <f t="shared" si="333"/>
        <v>4.13622769289656</v>
      </c>
      <c r="V379" s="4">
        <f t="shared" si="334"/>
        <v>1.32661070318178</v>
      </c>
      <c r="W379" t="str">
        <f t="shared" si="322"/>
        <v>1-11,518405991701i</v>
      </c>
      <c r="X379" s="4">
        <f t="shared" si="335"/>
        <v>11.5617332865645</v>
      </c>
      <c r="Y379" s="4">
        <f t="shared" si="336"/>
        <v>-1.48419590031299</v>
      </c>
      <c r="Z379" t="str">
        <f t="shared" si="323"/>
        <v>0,98645235177602+0,795318508950782i</v>
      </c>
      <c r="AA379" s="4">
        <f t="shared" si="337"/>
        <v>1.26713052721657</v>
      </c>
      <c r="AB379" s="4">
        <f t="shared" si="338"/>
        <v>0.678534971204806</v>
      </c>
      <c r="AC379" s="67" t="str">
        <f t="shared" si="339"/>
        <v>-2,92554228391916-2,65307014788316i</v>
      </c>
      <c r="AD379" s="68">
        <f t="shared" si="340"/>
        <v>11.9305719019076</v>
      </c>
      <c r="AE379" s="31">
        <f t="shared" si="341"/>
        <v>-137.796234235256</v>
      </c>
      <c r="AF379" s="32" t="str">
        <f t="shared" si="342"/>
        <v>432,040091031901</v>
      </c>
      <c r="AG379" s="32" t="str">
        <f t="shared" si="324"/>
        <v>1+424,711595414159i</v>
      </c>
      <c r="AH379" s="32">
        <f t="shared" si="343"/>
        <v>424.71277268201</v>
      </c>
      <c r="AI379" s="32">
        <f t="shared" si="344"/>
        <v>1.56844179218164</v>
      </c>
      <c r="AJ379" s="32" t="str">
        <f t="shared" si="325"/>
        <v>1+4,01352457666381i</v>
      </c>
      <c r="AK379" s="32">
        <f t="shared" si="345"/>
        <v>4.13622769289656</v>
      </c>
      <c r="AL379" s="32">
        <f t="shared" si="346"/>
        <v>1.32661070318178</v>
      </c>
      <c r="AM379" s="32" t="str">
        <f t="shared" si="326"/>
        <v>1-1,18488575382859i</v>
      </c>
      <c r="AN379" s="32">
        <f t="shared" si="347"/>
        <v>1.55046904181475</v>
      </c>
      <c r="AO379" s="32">
        <f t="shared" si="348"/>
        <v>-0.869817379448227</v>
      </c>
      <c r="AP379" s="30" t="str">
        <f t="shared" si="349"/>
        <v>2,89121715070969-5,84807425259065i</v>
      </c>
      <c r="AQ379" s="32">
        <f t="shared" si="350"/>
        <v>16.2899252795087</v>
      </c>
      <c r="AR379" s="31">
        <f t="shared" si="351"/>
        <v>-63.6927655442569</v>
      </c>
      <c r="AS379" t="str">
        <f t="shared" si="327"/>
        <v>-0,000201496259351621</v>
      </c>
      <c r="AT379" t="str">
        <f t="shared" si="328"/>
        <v>0,0575152405852268i</v>
      </c>
      <c r="AU379">
        <f t="shared" si="352"/>
        <v>0.0575152405852268</v>
      </c>
      <c r="AV379">
        <f t="shared" si="353"/>
        <v>1.5707963267949</v>
      </c>
      <c r="AW379" t="str">
        <f t="shared" si="329"/>
        <v>1+2,94467482456085i</v>
      </c>
      <c r="AX379">
        <f t="shared" si="354"/>
        <v>3.10984080338568</v>
      </c>
      <c r="AY379">
        <f t="shared" si="355"/>
        <v>1.24341993814238</v>
      </c>
      <c r="AZ379" t="str">
        <f t="shared" si="330"/>
        <v>1+140,780517676345i</v>
      </c>
      <c r="BA379">
        <f t="shared" si="356"/>
        <v>140.784069259344</v>
      </c>
      <c r="BB379">
        <f t="shared" si="357"/>
        <v>1.56369319066308</v>
      </c>
      <c r="BC379" s="30" t="str">
        <f t="shared" si="358"/>
        <v>-0,0499309579845655+0,15053378913785i</v>
      </c>
      <c r="BD379" s="32">
        <f t="shared" si="359"/>
        <v>-15.9940119227068</v>
      </c>
      <c r="BE379" s="31">
        <f t="shared" si="360"/>
        <v>108.350305660364</v>
      </c>
      <c r="BF379" s="30" t="str">
        <f t="shared" si="361"/>
        <v>0,545451831069806-0,307922631197292i</v>
      </c>
      <c r="BG379" s="68">
        <f t="shared" si="362"/>
        <v>-4.06344002079922</v>
      </c>
      <c r="BH379" s="31">
        <f t="shared" si="363"/>
        <v>-29.445928574892</v>
      </c>
      <c r="BI379" s="30" t="str">
        <f t="shared" si="369"/>
        <v>0,73597153432563+0,727225822713391i</v>
      </c>
      <c r="BJ379" s="68">
        <f t="shared" si="364"/>
        <v>0.295913356801846</v>
      </c>
      <c r="BK379" s="31">
        <f t="shared" si="370"/>
        <v>44.6575401161067</v>
      </c>
      <c r="BL379" s="32">
        <f t="shared" si="365"/>
        <v>-4.06344002079922</v>
      </c>
      <c r="BM379" s="31">
        <f t="shared" si="366"/>
        <v>-29.445928574892</v>
      </c>
      <c r="BO379">
        <f t="shared" si="367"/>
        <v>0</v>
      </c>
      <c r="BP379">
        <f t="shared" si="368"/>
        <v>0</v>
      </c>
    </row>
    <row r="380" spans="14:68">
      <c r="N380" s="7">
        <v>62</v>
      </c>
      <c r="O380" s="18">
        <f t="shared" si="318"/>
        <v>41686.9383470336</v>
      </c>
      <c r="P380" s="86" t="str">
        <f t="shared" si="319"/>
        <v>54,5454545454545</v>
      </c>
      <c r="Q380" s="4" t="str">
        <f t="shared" si="320"/>
        <v>1+533,378126447616i</v>
      </c>
      <c r="R380" s="4">
        <f t="shared" si="331"/>
        <v>533.379063868061</v>
      </c>
      <c r="S380" s="4">
        <f t="shared" si="332"/>
        <v>1.56892148645417</v>
      </c>
      <c r="T380" s="4" t="str">
        <f t="shared" si="321"/>
        <v>1+4,10701157364665i</v>
      </c>
      <c r="U380" s="4">
        <f t="shared" si="333"/>
        <v>4.22700178212259</v>
      </c>
      <c r="V380" s="4">
        <f t="shared" si="334"/>
        <v>1.33195777983591</v>
      </c>
      <c r="W380" t="str">
        <f t="shared" si="322"/>
        <v>1-11,7867041335522i</v>
      </c>
      <c r="X380" s="4">
        <f t="shared" si="335"/>
        <v>11.8290487500854</v>
      </c>
      <c r="Y380" s="4">
        <f t="shared" si="336"/>
        <v>-1.48615765715182</v>
      </c>
      <c r="Z380" t="str">
        <f t="shared" si="323"/>
        <v>0,985813870785719+0,813843856840512i</v>
      </c>
      <c r="AA380" s="4">
        <f t="shared" si="337"/>
        <v>1.27834690563656</v>
      </c>
      <c r="AB380" s="4">
        <f t="shared" si="338"/>
        <v>0.690130362042248</v>
      </c>
      <c r="AC380" s="67" t="str">
        <f t="shared" si="339"/>
        <v>-2,98509249324086-2,6625059963922i</v>
      </c>
      <c r="AD380" s="68">
        <f t="shared" si="340"/>
        <v>12.0411225686912</v>
      </c>
      <c r="AE380" s="31">
        <f t="shared" si="341"/>
        <v>-138.269138791709</v>
      </c>
      <c r="AF380" s="32" t="str">
        <f t="shared" si="342"/>
        <v>432,040091031901</v>
      </c>
      <c r="AG380" s="32" t="str">
        <f t="shared" si="324"/>
        <v>1+434,604399327687i</v>
      </c>
      <c r="AH380" s="32">
        <f t="shared" si="343"/>
        <v>434.605549797721</v>
      </c>
      <c r="AI380" s="32">
        <f t="shared" si="344"/>
        <v>1.56849538774142</v>
      </c>
      <c r="AJ380" s="32" t="str">
        <f t="shared" si="325"/>
        <v>1+4,10701157364665i</v>
      </c>
      <c r="AK380" s="32">
        <f t="shared" si="345"/>
        <v>4.22700178212259</v>
      </c>
      <c r="AL380" s="32">
        <f t="shared" si="346"/>
        <v>1.33195777983591</v>
      </c>
      <c r="AM380" s="32" t="str">
        <f t="shared" si="326"/>
        <v>1-1,2124852885461i</v>
      </c>
      <c r="AN380" s="32">
        <f t="shared" si="347"/>
        <v>1.57166172408083</v>
      </c>
      <c r="AO380" s="32">
        <f t="shared" si="348"/>
        <v>-0.881143700572747</v>
      </c>
      <c r="AP380" s="30" t="str">
        <f t="shared" si="349"/>
        <v>2,89111007240128-5,93775669711298i</v>
      </c>
      <c r="AQ380" s="32">
        <f t="shared" si="350"/>
        <v>16.3964057715265</v>
      </c>
      <c r="AR380" s="31">
        <f t="shared" si="351"/>
        <v>-64.0384218164637</v>
      </c>
      <c r="AS380" t="str">
        <f t="shared" si="327"/>
        <v>-0,000201496259351621</v>
      </c>
      <c r="AT380" t="str">
        <f t="shared" si="328"/>
        <v>0,0588549426402041i</v>
      </c>
      <c r="AU380">
        <f t="shared" si="352"/>
        <v>0.0588549426402041</v>
      </c>
      <c r="AV380">
        <f t="shared" si="353"/>
        <v>1.5707963267949</v>
      </c>
      <c r="AW380" t="str">
        <f t="shared" si="329"/>
        <v>1+3,01326511251867i</v>
      </c>
      <c r="AX380">
        <f t="shared" si="354"/>
        <v>3.17486482205497</v>
      </c>
      <c r="AY380">
        <f t="shared" si="355"/>
        <v>1.25036702490925</v>
      </c>
      <c r="AZ380" t="str">
        <f t="shared" si="330"/>
        <v>1+144,05971718786i</v>
      </c>
      <c r="BA380">
        <f t="shared" si="356"/>
        <v>144.06318792893</v>
      </c>
      <c r="BB380">
        <f t="shared" si="357"/>
        <v>1.56385487252714</v>
      </c>
      <c r="BC380" s="30" t="str">
        <f t="shared" si="358"/>
        <v>-0,0479066426370044+0,147779023033036i</v>
      </c>
      <c r="BD380" s="32">
        <f t="shared" si="359"/>
        <v>-16.1737634107885</v>
      </c>
      <c r="BE380" s="31">
        <f t="shared" si="360"/>
        <v>107.961530597145</v>
      </c>
      <c r="BF380" s="30" t="str">
        <f t="shared" si="361"/>
        <v>0,536468294278534-0,313582329026341i</v>
      </c>
      <c r="BG380" s="68">
        <f t="shared" si="362"/>
        <v>-4.13264084209723</v>
      </c>
      <c r="BH380" s="31">
        <f t="shared" si="363"/>
        <v>-30.3076081945637</v>
      </c>
      <c r="BI380" s="30" t="str">
        <f t="shared" si="369"/>
        <v>0,738972506644451+0,711703410134502i</v>
      </c>
      <c r="BJ380" s="68">
        <f t="shared" si="364"/>
        <v>0.222642360738065</v>
      </c>
      <c r="BK380" s="31">
        <f t="shared" si="370"/>
        <v>43.9231087806814</v>
      </c>
      <c r="BL380" s="32">
        <f t="shared" si="365"/>
        <v>-4.13264084209723</v>
      </c>
      <c r="BM380" s="31">
        <f t="shared" si="366"/>
        <v>-30.3076081945637</v>
      </c>
      <c r="BO380">
        <f t="shared" si="367"/>
        <v>0</v>
      </c>
      <c r="BP380">
        <f t="shared" si="368"/>
        <v>0</v>
      </c>
    </row>
    <row r="381" spans="14:68">
      <c r="N381" s="7">
        <v>63</v>
      </c>
      <c r="O381" s="18">
        <f t="shared" si="318"/>
        <v>42657.9518801593</v>
      </c>
      <c r="P381" s="86" t="str">
        <f t="shared" si="319"/>
        <v>54,5454545454545</v>
      </c>
      <c r="Q381" s="4" t="str">
        <f t="shared" si="320"/>
        <v>1+545,802099029683i</v>
      </c>
      <c r="R381" s="4">
        <f t="shared" si="331"/>
        <v>545.80301511187</v>
      </c>
      <c r="S381" s="4">
        <f t="shared" si="332"/>
        <v>1.56896416293397</v>
      </c>
      <c r="T381" s="4" t="str">
        <f t="shared" si="321"/>
        <v>1+4,20267616252857i</v>
      </c>
      <c r="U381" s="4">
        <f t="shared" si="333"/>
        <v>4.32001006099359</v>
      </c>
      <c r="V381" s="4">
        <f t="shared" si="334"/>
        <v>1.33719663035529</v>
      </c>
      <c r="W381" t="str">
        <f t="shared" si="322"/>
        <v>1-12,0612517419506i</v>
      </c>
      <c r="X381" s="4">
        <f t="shared" si="335"/>
        <v>12.1026358113721</v>
      </c>
      <c r="Y381" s="4">
        <f t="shared" si="336"/>
        <v>-1.48807539016537</v>
      </c>
      <c r="Z381" t="str">
        <f t="shared" si="323"/>
        <v>0,985145299113388+0,832800715515637i</v>
      </c>
      <c r="AA381" s="4">
        <f t="shared" si="337"/>
        <v>1.28998771006881</v>
      </c>
      <c r="AB381" s="4">
        <f t="shared" si="338"/>
        <v>0.701793114663524</v>
      </c>
      <c r="AC381" s="67" t="str">
        <f t="shared" si="339"/>
        <v>-3,04525693220068-2,67066336701198i</v>
      </c>
      <c r="AD381" s="68">
        <f t="shared" si="340"/>
        <v>12.150035702709</v>
      </c>
      <c r="AE381" s="31">
        <f t="shared" si="341"/>
        <v>-138.749524460239</v>
      </c>
      <c r="AF381" s="32" t="str">
        <f t="shared" si="342"/>
        <v>432,040091031901</v>
      </c>
      <c r="AG381" s="32" t="str">
        <f t="shared" si="324"/>
        <v>1+444,727636246408i</v>
      </c>
      <c r="AH381" s="32">
        <f t="shared" si="343"/>
        <v>444.728760528614</v>
      </c>
      <c r="AI381" s="32">
        <f t="shared" si="344"/>
        <v>1.56854776333009</v>
      </c>
      <c r="AJ381" s="32" t="str">
        <f t="shared" si="325"/>
        <v>1+4,20267616252857i</v>
      </c>
      <c r="AK381" s="32">
        <f t="shared" si="345"/>
        <v>4.32001006099359</v>
      </c>
      <c r="AL381" s="32">
        <f t="shared" si="346"/>
        <v>1.33719663035529</v>
      </c>
      <c r="AM381" s="32" t="str">
        <f t="shared" si="326"/>
        <v>1-1,24072769901273i</v>
      </c>
      <c r="AN381" s="32">
        <f t="shared" si="347"/>
        <v>1.59355113601586</v>
      </c>
      <c r="AO381" s="32">
        <f t="shared" si="348"/>
        <v>-0.892420500738354</v>
      </c>
      <c r="AP381" s="30" t="str">
        <f t="shared" si="349"/>
        <v>2,89100781336076-6,0305873966479i</v>
      </c>
      <c r="AQ381" s="32">
        <f t="shared" si="350"/>
        <v>16.5055919065214</v>
      </c>
      <c r="AR381" s="31">
        <f t="shared" si="351"/>
        <v>-64.3873717482852</v>
      </c>
      <c r="AS381" t="str">
        <f t="shared" si="327"/>
        <v>-0,000201496259351621</v>
      </c>
      <c r="AT381" t="str">
        <f t="shared" si="328"/>
        <v>0,0602258503648066i</v>
      </c>
      <c r="AU381">
        <f t="shared" si="352"/>
        <v>0.0602258503648066</v>
      </c>
      <c r="AV381">
        <f t="shared" si="353"/>
        <v>1.5707963267949</v>
      </c>
      <c r="AW381" t="str">
        <f t="shared" si="329"/>
        <v>1+3,08345307352443i</v>
      </c>
      <c r="AX381">
        <f t="shared" si="354"/>
        <v>3.24155562294206</v>
      </c>
      <c r="AY381">
        <f t="shared" si="355"/>
        <v>1.25718707046826</v>
      </c>
      <c r="AZ381" t="str">
        <f t="shared" si="330"/>
        <v>1+147,415299068285i</v>
      </c>
      <c r="BA381">
        <f t="shared" si="356"/>
        <v>147.418690807482</v>
      </c>
      <c r="BB381">
        <f t="shared" si="357"/>
        <v>1.56401287441333</v>
      </c>
      <c r="BC381" s="30" t="str">
        <f t="shared" si="358"/>
        <v>-0,0459556864053944+0,145047879774587i</v>
      </c>
      <c r="BD381" s="32">
        <f t="shared" si="359"/>
        <v>-16.3543376164446</v>
      </c>
      <c r="BE381" s="31">
        <f t="shared" si="360"/>
        <v>107.579823611761</v>
      </c>
      <c r="BF381" s="30" t="str">
        <f t="shared" si="361"/>
        <v>0,527320931576815-0,318975893195795i</v>
      </c>
      <c r="BG381" s="68">
        <f t="shared" si="362"/>
        <v>-4.20430191373554</v>
      </c>
      <c r="BH381" s="31">
        <f t="shared" si="363"/>
        <v>-31.169700848478</v>
      </c>
      <c r="BI381" s="30" t="str">
        <f t="shared" si="369"/>
        <v>0,741865667212772+0,696474336980418i</v>
      </c>
      <c r="BJ381" s="68">
        <f t="shared" si="364"/>
        <v>0.151254290076875</v>
      </c>
      <c r="BK381" s="31">
        <f t="shared" si="370"/>
        <v>43.192451863476</v>
      </c>
      <c r="BL381" s="32">
        <f t="shared" si="365"/>
        <v>-4.20430191373554</v>
      </c>
      <c r="BM381" s="31">
        <f t="shared" si="366"/>
        <v>-31.169700848478</v>
      </c>
      <c r="BO381">
        <f t="shared" si="367"/>
        <v>0</v>
      </c>
      <c r="BP381">
        <f t="shared" si="368"/>
        <v>0</v>
      </c>
    </row>
    <row r="382" spans="14:68">
      <c r="N382" s="7">
        <v>64</v>
      </c>
      <c r="O382" s="18">
        <f t="shared" si="318"/>
        <v>43651.5832240166</v>
      </c>
      <c r="P382" s="86" t="str">
        <f t="shared" si="319"/>
        <v>54,5454545454545</v>
      </c>
      <c r="Q382" s="4" t="str">
        <f t="shared" si="320"/>
        <v>1+558,5154631092i</v>
      </c>
      <c r="R382" s="4">
        <f t="shared" si="331"/>
        <v>558.516358338844</v>
      </c>
      <c r="S382" s="4">
        <f t="shared" si="332"/>
        <v>1.56900586798494</v>
      </c>
      <c r="T382" s="4" t="str">
        <f t="shared" si="321"/>
        <v>1+4,30056906594085i</v>
      </c>
      <c r="U382" s="4">
        <f t="shared" si="333"/>
        <v>4.41530228760471</v>
      </c>
      <c r="V382" s="4">
        <f t="shared" si="334"/>
        <v>1.34232888167969</v>
      </c>
      <c r="W382" t="str">
        <f t="shared" si="322"/>
        <v>1-12,3421943856721i</v>
      </c>
      <c r="X382" s="4">
        <f t="shared" si="335"/>
        <v>12.3826395511505</v>
      </c>
      <c r="Y382" s="4">
        <f t="shared" si="336"/>
        <v>-1.48995005970692</v>
      </c>
      <c r="Z382" t="str">
        <f t="shared" si="323"/>
        <v>0,984445218628871+0,852199136153547i</v>
      </c>
      <c r="AA382" s="4">
        <f t="shared" si="337"/>
        <v>1.30206595690929</v>
      </c>
      <c r="AB382" s="4">
        <f t="shared" si="338"/>
        <v>0.713518029031076</v>
      </c>
      <c r="AC382" s="67" t="str">
        <f t="shared" si="339"/>
        <v>-3,10598027007212-2,67750667980665i</v>
      </c>
      <c r="AD382" s="68">
        <f t="shared" si="340"/>
        <v>12.2572671357777</v>
      </c>
      <c r="AE382" s="31">
        <f t="shared" si="341"/>
        <v>-139.237056404481</v>
      </c>
      <c r="AF382" s="32" t="str">
        <f t="shared" si="342"/>
        <v>432,040091031901</v>
      </c>
      <c r="AG382" s="32" t="str">
        <f t="shared" si="324"/>
        <v>1+455,086673644533i</v>
      </c>
      <c r="AH382" s="32">
        <f t="shared" si="343"/>
        <v>455.087772335014</v>
      </c>
      <c r="AI382" s="32">
        <f t="shared" si="344"/>
        <v>1.56859894671673</v>
      </c>
      <c r="AJ382" s="32" t="str">
        <f t="shared" si="325"/>
        <v>1+4,30056906594085i</v>
      </c>
      <c r="AK382" s="32">
        <f t="shared" si="345"/>
        <v>4.41530228760471</v>
      </c>
      <c r="AL382" s="32">
        <f t="shared" si="346"/>
        <v>1.34232888167969</v>
      </c>
      <c r="AM382" s="32" t="str">
        <f t="shared" si="326"/>
        <v>1-1,26962795972835i</v>
      </c>
      <c r="AN382" s="32">
        <f t="shared" si="347"/>
        <v>1.61615443449071</v>
      </c>
      <c r="AO382" s="32">
        <f t="shared" si="348"/>
        <v>-0.903642287534207</v>
      </c>
      <c r="AP382" s="30" t="str">
        <f t="shared" si="349"/>
        <v>2,89091015668972-6,12661557274171i</v>
      </c>
      <c r="AQ382" s="32">
        <f t="shared" si="350"/>
        <v>16.6174436545451</v>
      </c>
      <c r="AR382" s="31">
        <f t="shared" si="351"/>
        <v>-64.7392090220303</v>
      </c>
      <c r="AS382" t="str">
        <f t="shared" si="327"/>
        <v>-0,000201496259351621</v>
      </c>
      <c r="AT382" t="str">
        <f t="shared" si="328"/>
        <v>0,0616286906324558i</v>
      </c>
      <c r="AU382">
        <f t="shared" si="352"/>
        <v>0.0616286906324558</v>
      </c>
      <c r="AV382">
        <f t="shared" si="353"/>
        <v>1.5707963267949</v>
      </c>
      <c r="AW382" t="str">
        <f t="shared" si="329"/>
        <v>1+3,1552759221641i</v>
      </c>
      <c r="AX382">
        <f t="shared" si="354"/>
        <v>3.30994956834519</v>
      </c>
      <c r="AY382">
        <f t="shared" si="355"/>
        <v>1.26388115226306</v>
      </c>
      <c r="AZ382" t="str">
        <f t="shared" si="330"/>
        <v>1+150,849042491547i</v>
      </c>
      <c r="BA382">
        <f t="shared" si="356"/>
        <v>150.85235702705</v>
      </c>
      <c r="BB382">
        <f t="shared" si="357"/>
        <v>1.56416728006478</v>
      </c>
      <c r="BC382" s="30" t="str">
        <f t="shared" si="358"/>
        <v>-0,0440761304883624+0,14234187364132i</v>
      </c>
      <c r="BD382" s="32">
        <f t="shared" si="359"/>
        <v>-16.5357045815064</v>
      </c>
      <c r="BE382" s="31">
        <f t="shared" si="360"/>
        <v>107.205127769364</v>
      </c>
      <c r="BF382" s="30" t="str">
        <f t="shared" si="361"/>
        <v>0,518020909168806-0,324096917332419i</v>
      </c>
      <c r="BG382" s="68">
        <f t="shared" si="362"/>
        <v>-4.27843744572873</v>
      </c>
      <c r="BH382" s="31">
        <f t="shared" si="363"/>
        <v>-32.0319286351169</v>
      </c>
      <c r="BI382" s="30" t="str">
        <f t="shared" si="369"/>
        <v>0,744653806407756+0,681535075668134i</v>
      </c>
      <c r="BJ382" s="68">
        <f t="shared" si="364"/>
        <v>0.0817390730386839</v>
      </c>
      <c r="BK382" s="31">
        <f t="shared" si="370"/>
        <v>42.465918747334</v>
      </c>
      <c r="BL382" s="32">
        <f t="shared" si="365"/>
        <v>-4.27843744572873</v>
      </c>
      <c r="BM382" s="31">
        <f t="shared" si="366"/>
        <v>-32.0319286351169</v>
      </c>
      <c r="BO382">
        <f t="shared" si="367"/>
        <v>0</v>
      </c>
      <c r="BP382">
        <f t="shared" si="368"/>
        <v>0</v>
      </c>
    </row>
    <row r="383" spans="14:68">
      <c r="N383" s="7">
        <v>65</v>
      </c>
      <c r="O383" s="18">
        <f t="shared" si="318"/>
        <v>44668.3592150964</v>
      </c>
      <c r="P383" s="86" t="str">
        <f t="shared" si="319"/>
        <v>54,5454545454545</v>
      </c>
      <c r="Q383" s="4" t="str">
        <f t="shared" si="320"/>
        <v>1+571,524959480086i</v>
      </c>
      <c r="R383" s="4">
        <f t="shared" si="331"/>
        <v>571.525834331847</v>
      </c>
      <c r="S383" s="4">
        <f t="shared" si="332"/>
        <v>1.56904662371907</v>
      </c>
      <c r="T383" s="4" t="str">
        <f t="shared" si="321"/>
        <v>1+4,40074218799667i</v>
      </c>
      <c r="U383" s="4">
        <f t="shared" si="333"/>
        <v>4.51292940396963</v>
      </c>
      <c r="V383" s="4">
        <f t="shared" si="334"/>
        <v>1.34735617304978</v>
      </c>
      <c r="W383" t="str">
        <f t="shared" si="322"/>
        <v>1-12,6296810242251i</v>
      </c>
      <c r="X383" s="4">
        <f t="shared" si="335"/>
        <v>12.6692084509519</v>
      </c>
      <c r="Y383" s="4">
        <f t="shared" si="336"/>
        <v>-1.49178260701523</v>
      </c>
      <c r="Z383" t="str">
        <f t="shared" si="323"/>
        <v>0,983712144367601+0,87204940405364i</v>
      </c>
      <c r="AA383" s="4">
        <f t="shared" si="337"/>
        <v>1.3145948980909</v>
      </c>
      <c r="AB383" s="4">
        <f t="shared" si="338"/>
        <v>0.725299777945313</v>
      </c>
      <c r="AC383" s="67" t="str">
        <f t="shared" si="339"/>
        <v>-3,16720492373773-2,68300328854714i</v>
      </c>
      <c r="AD383" s="68">
        <f t="shared" si="340"/>
        <v>12.3627755624617</v>
      </c>
      <c r="AE383" s="31">
        <f t="shared" si="341"/>
        <v>-139.731390672741</v>
      </c>
      <c r="AF383" s="32" t="str">
        <f t="shared" si="342"/>
        <v>432,040091031901</v>
      </c>
      <c r="AG383" s="32" t="str">
        <f t="shared" si="324"/>
        <v>1+465,687004020811i</v>
      </c>
      <c r="AH383" s="32">
        <f t="shared" si="343"/>
        <v>465.688077702102</v>
      </c>
      <c r="AI383" s="32">
        <f t="shared" si="344"/>
        <v>1.56864896503837</v>
      </c>
      <c r="AJ383" s="32" t="str">
        <f t="shared" si="325"/>
        <v>1+4,40074218799667i</v>
      </c>
      <c r="AK383" s="32">
        <f t="shared" si="345"/>
        <v>4.51292940396963</v>
      </c>
      <c r="AL383" s="32">
        <f t="shared" si="346"/>
        <v>1.34735617304978</v>
      </c>
      <c r="AM383" s="32" t="str">
        <f t="shared" si="326"/>
        <v>1-1,29920139399373i</v>
      </c>
      <c r="AN383" s="32">
        <f t="shared" si="347"/>
        <v>1.63948902471326</v>
      </c>
      <c r="AO383" s="32">
        <f t="shared" si="348"/>
        <v>-0.914803706382908</v>
      </c>
      <c r="AP383" s="30" t="str">
        <f t="shared" si="349"/>
        <v>2,8908168952514-6,22589214218626i</v>
      </c>
      <c r="AQ383" s="32">
        <f t="shared" si="350"/>
        <v>16.7319196598819</v>
      </c>
      <c r="AR383" s="31">
        <f t="shared" si="351"/>
        <v>-65.0935344762783</v>
      </c>
      <c r="AS383" t="str">
        <f t="shared" si="327"/>
        <v>-0,000201496259351621</v>
      </c>
      <c r="AT383" t="str">
        <f t="shared" si="328"/>
        <v>0,0630642072476307i</v>
      </c>
      <c r="AU383">
        <f t="shared" si="352"/>
        <v>0.0630642072476307</v>
      </c>
      <c r="AV383">
        <f t="shared" si="353"/>
        <v>1.5707963267949</v>
      </c>
      <c r="AW383" t="str">
        <f t="shared" si="329"/>
        <v>1+3,22877173986273i</v>
      </c>
      <c r="AX383">
        <f t="shared" si="354"/>
        <v>3.380083867027</v>
      </c>
      <c r="AY383">
        <f t="shared" si="355"/>
        <v>1.27045041901024</v>
      </c>
      <c r="AZ383" t="str">
        <f t="shared" si="330"/>
        <v>1+154,362768073863i</v>
      </c>
      <c r="BA383">
        <f t="shared" si="356"/>
        <v>154.366007162928</v>
      </c>
      <c r="BB383">
        <f t="shared" si="357"/>
        <v>1.56431817131993</v>
      </c>
      <c r="BC383" s="30" t="str">
        <f t="shared" si="358"/>
        <v>-0,042266010956406+0,139662398732254i</v>
      </c>
      <c r="BD383" s="32">
        <f t="shared" si="359"/>
        <v>-16.7178351594609</v>
      </c>
      <c r="BE383" s="31">
        <f t="shared" si="360"/>
        <v>106.837381942341</v>
      </c>
      <c r="BF383" s="30" t="str">
        <f t="shared" si="361"/>
        <v>0,508579793092901-0,32893959053601i</v>
      </c>
      <c r="BG383" s="68">
        <f t="shared" si="362"/>
        <v>-4.35505959699918</v>
      </c>
      <c r="BH383" s="31">
        <f t="shared" si="363"/>
        <v>-32.8940087304</v>
      </c>
      <c r="BI383" s="30" t="str">
        <f t="shared" si="369"/>
        <v>0,747339732258365+0,666882047381584i</v>
      </c>
      <c r="BJ383" s="68">
        <f t="shared" si="364"/>
        <v>0.0140845004210564</v>
      </c>
      <c r="BK383" s="31">
        <f t="shared" si="370"/>
        <v>41.743847466063</v>
      </c>
      <c r="BL383" s="32">
        <f t="shared" si="365"/>
        <v>-4.35505959699918</v>
      </c>
      <c r="BM383" s="31">
        <f t="shared" si="366"/>
        <v>-32.8940087304</v>
      </c>
      <c r="BO383">
        <f t="shared" si="367"/>
        <v>0</v>
      </c>
      <c r="BP383">
        <f t="shared" si="368"/>
        <v>0</v>
      </c>
    </row>
    <row r="384" spans="14:68">
      <c r="N384" s="7">
        <v>66</v>
      </c>
      <c r="O384" s="18">
        <f t="shared" ref="O384:O418" si="371">10^(4+(N384/100))</f>
        <v>45708.8189614876</v>
      </c>
      <c r="P384" s="86" t="str">
        <f t="shared" si="319"/>
        <v>54,5454545454545</v>
      </c>
      <c r="Q384" s="4" t="str">
        <f t="shared" si="320"/>
        <v>1+584,837485949514i</v>
      </c>
      <c r="R384" s="4">
        <f t="shared" si="331"/>
        <v>584.838340887247</v>
      </c>
      <c r="S384" s="4">
        <f t="shared" si="332"/>
        <v>1.56908645174505</v>
      </c>
      <c r="T384" s="4" t="str">
        <f t="shared" si="321"/>
        <v>1+4,50324864181127i</v>
      </c>
      <c r="U384" s="4">
        <f t="shared" si="333"/>
        <v>4.61294356457729</v>
      </c>
      <c r="V384" s="4">
        <f t="shared" si="334"/>
        <v>1.35228015308222</v>
      </c>
      <c r="W384" t="str">
        <f t="shared" si="322"/>
        <v>1-12,9238640868308i</v>
      </c>
      <c r="X384" s="4">
        <f t="shared" si="335"/>
        <v>12.9624944719323</v>
      </c>
      <c r="Y384" s="4">
        <f t="shared" si="336"/>
        <v>-1.49357395447075</v>
      </c>
      <c r="Z384" t="str">
        <f t="shared" si="323"/>
        <v>0,982944521380783+0,892362044090698i</v>
      </c>
      <c r="AA384" s="4">
        <f t="shared" si="337"/>
        <v>1.32758801962289</v>
      </c>
      <c r="AB384" s="4">
        <f t="shared" si="338"/>
        <v>0.73713291988027</v>
      </c>
      <c r="AC384" s="67" t="str">
        <f t="shared" si="339"/>
        <v>-3,22887125827624-2,68712366071401i</v>
      </c>
      <c r="AD384" s="68">
        <f t="shared" si="340"/>
        <v>12.4665225963938</v>
      </c>
      <c r="AE384" s="31">
        <f t="shared" si="341"/>
        <v>-140.232175116366</v>
      </c>
      <c r="AF384" s="32" t="str">
        <f t="shared" si="342"/>
        <v>432,040091031901</v>
      </c>
      <c r="AG384" s="32" t="str">
        <f t="shared" si="324"/>
        <v>1+476,534247810715i</v>
      </c>
      <c r="AH384" s="32">
        <f t="shared" si="343"/>
        <v>476.53529705209</v>
      </c>
      <c r="AI384" s="32">
        <f t="shared" si="344"/>
        <v>1.56869784481439</v>
      </c>
      <c r="AJ384" s="32" t="str">
        <f t="shared" si="325"/>
        <v>1+4,50324864181127i</v>
      </c>
      <c r="AK384" s="32">
        <f t="shared" si="345"/>
        <v>4.61294356457729</v>
      </c>
      <c r="AL384" s="32">
        <f t="shared" si="346"/>
        <v>1.35228015308222</v>
      </c>
      <c r="AM384" s="32" t="str">
        <f t="shared" si="326"/>
        <v>1-1,32946368203517i</v>
      </c>
      <c r="AN384" s="32">
        <f t="shared" si="347"/>
        <v>1.66357256585053</v>
      </c>
      <c r="AO384" s="32">
        <f t="shared" si="348"/>
        <v>-0.925899552083382</v>
      </c>
      <c r="AP384" s="30" t="str">
        <f t="shared" si="349"/>
        <v>2,89072783123142-6,32846974402241i</v>
      </c>
      <c r="AQ384" s="32">
        <f t="shared" si="350"/>
        <v>16.8489773130796</v>
      </c>
      <c r="AR384" s="31">
        <f t="shared" si="351"/>
        <v>-65.449956935648</v>
      </c>
      <c r="AS384" t="str">
        <f t="shared" si="327"/>
        <v>-0,000201496259351621</v>
      </c>
      <c r="AT384" t="str">
        <f t="shared" si="328"/>
        <v>0,0645331613402417i</v>
      </c>
      <c r="AU384">
        <f t="shared" si="352"/>
        <v>0.0645331613402417</v>
      </c>
      <c r="AV384">
        <f t="shared" si="353"/>
        <v>1.5707963267949</v>
      </c>
      <c r="AW384" t="str">
        <f t="shared" si="329"/>
        <v>1+3,30397949507567i</v>
      </c>
      <c r="AX384">
        <f t="shared" si="354"/>
        <v>3.45199659673651</v>
      </c>
      <c r="AY384">
        <f t="shared" si="355"/>
        <v>1.27689608502111</v>
      </c>
      <c r="AZ384" t="str">
        <f t="shared" si="330"/>
        <v>1+157,958338839043i</v>
      </c>
      <c r="BA384">
        <f t="shared" si="356"/>
        <v>157.961504198934</v>
      </c>
      <c r="BB384">
        <f t="shared" si="357"/>
        <v>1.56446562815584</v>
      </c>
      <c r="BC384" s="30" t="str">
        <f t="shared" si="358"/>
        <v>-0,0405233644885453+0,13701073305409i</v>
      </c>
      <c r="BD384" s="32">
        <f t="shared" si="359"/>
        <v>-16.9007010164108</v>
      </c>
      <c r="BE384" s="31">
        <f t="shared" si="360"/>
        <v>106.476521138125</v>
      </c>
      <c r="BF384" s="30" t="str">
        <f t="shared" si="361"/>
        <v>0,499009509447132-0,333498726504802i</v>
      </c>
      <c r="BG384" s="68">
        <f t="shared" si="362"/>
        <v>-4.43417842001704</v>
      </c>
      <c r="BH384" s="31">
        <f t="shared" si="363"/>
        <v>-33.7556539782409</v>
      </c>
      <c r="BI384" s="30" t="str">
        <f t="shared" si="369"/>
        <v>0,749926261196967+0,652511625308628i</v>
      </c>
      <c r="BJ384" s="68">
        <f t="shared" si="364"/>
        <v>-0.0517237033312623</v>
      </c>
      <c r="BK384" s="31">
        <f t="shared" si="370"/>
        <v>41.026564202477</v>
      </c>
      <c r="BL384" s="32">
        <f t="shared" si="365"/>
        <v>-4.43417842001704</v>
      </c>
      <c r="BM384" s="31">
        <f t="shared" si="366"/>
        <v>-33.7556539782409</v>
      </c>
      <c r="BO384">
        <f t="shared" si="367"/>
        <v>0</v>
      </c>
      <c r="BP384">
        <f t="shared" si="368"/>
        <v>0</v>
      </c>
    </row>
    <row r="385" spans="14:68">
      <c r="N385" s="7">
        <v>67</v>
      </c>
      <c r="O385" s="18">
        <f t="shared" si="371"/>
        <v>46773.5141287199</v>
      </c>
      <c r="P385" s="86" t="str">
        <f t="shared" si="319"/>
        <v>54,5454545454545</v>
      </c>
      <c r="Q385" s="4" t="str">
        <f t="shared" si="320"/>
        <v>1+598,460100995231i</v>
      </c>
      <c r="R385" s="4">
        <f t="shared" si="331"/>
        <v>598.460936472233</v>
      </c>
      <c r="S385" s="4">
        <f t="shared" si="332"/>
        <v>1.56912537317971</v>
      </c>
      <c r="T385" s="4" t="str">
        <f t="shared" si="321"/>
        <v>1+4,60814277766329i</v>
      </c>
      <c r="U385" s="4">
        <f t="shared" si="333"/>
        <v>4.71539816551374</v>
      </c>
      <c r="V385" s="4">
        <f t="shared" si="334"/>
        <v>1.35710247702558</v>
      </c>
      <c r="W385" t="str">
        <f t="shared" si="322"/>
        <v>1-13,2248995532429i</v>
      </c>
      <c r="X385" s="4">
        <f t="shared" si="335"/>
        <v>13.2626531355293</v>
      </c>
      <c r="Y385" s="4">
        <f t="shared" si="336"/>
        <v>-1.49532500585754</v>
      </c>
      <c r="Z385" t="str">
        <f t="shared" si="323"/>
        <v>0,982140721437146+0,91314782629534i</v>
      </c>
      <c r="AA385" s="4">
        <f t="shared" si="337"/>
        <v>1.34105904022641</v>
      </c>
      <c r="AB385" s="4">
        <f t="shared" si="338"/>
        <v>0.749011912549647</v>
      </c>
      <c r="AC385" s="67" t="str">
        <f t="shared" si="339"/>
        <v>-3,29091780466854-2,68984154110217i</v>
      </c>
      <c r="AD385" s="68">
        <f t="shared" si="340"/>
        <v>12.5684728187929</v>
      </c>
      <c r="AE385" s="31">
        <f t="shared" si="341"/>
        <v>-140.7390503399</v>
      </c>
      <c r="AF385" s="32" t="str">
        <f t="shared" si="342"/>
        <v>432,040091031901</v>
      </c>
      <c r="AG385" s="32" t="str">
        <f t="shared" si="324"/>
        <v>1+487,634156366485i</v>
      </c>
      <c r="AH385" s="32">
        <f t="shared" si="343"/>
        <v>487.635181724262</v>
      </c>
      <c r="AI385" s="32">
        <f t="shared" si="344"/>
        <v>1.56874561196056</v>
      </c>
      <c r="AJ385" s="32" t="str">
        <f t="shared" si="325"/>
        <v>1+4,60814277766329i</v>
      </c>
      <c r="AK385" s="32">
        <f t="shared" si="345"/>
        <v>4.71539816551374</v>
      </c>
      <c r="AL385" s="32">
        <f t="shared" si="346"/>
        <v>1.35710247702558</v>
      </c>
      <c r="AM385" s="32" t="str">
        <f t="shared" si="326"/>
        <v>1-1,36043086931836i</v>
      </c>
      <c r="AN385" s="32">
        <f t="shared" si="347"/>
        <v>1.68842297727622</v>
      </c>
      <c r="AO385" s="32">
        <f t="shared" si="348"/>
        <v>-0.936924779482247</v>
      </c>
      <c r="AP385" s="30" t="str">
        <f t="shared" si="349"/>
        <v>2,89064277571813-6,43440276745592i</v>
      </c>
      <c r="AQ385" s="32">
        <f t="shared" si="350"/>
        <v>16.9685728285944</v>
      </c>
      <c r="AR385" s="31">
        <f t="shared" si="351"/>
        <v>-65.8080939802501</v>
      </c>
      <c r="AS385" t="str">
        <f t="shared" si="327"/>
        <v>-0,000201496259351621</v>
      </c>
      <c r="AT385" t="str">
        <f t="shared" si="328"/>
        <v>0,0660363317691926i</v>
      </c>
      <c r="AU385">
        <f t="shared" si="352"/>
        <v>0.0660363317691926</v>
      </c>
      <c r="AV385">
        <f t="shared" si="353"/>
        <v>1.5707963267949</v>
      </c>
      <c r="AW385" t="str">
        <f t="shared" si="329"/>
        <v>1+3,38093906395023i</v>
      </c>
      <c r="AX385">
        <f t="shared" si="354"/>
        <v>3.52572672709396</v>
      </c>
      <c r="AY385">
        <f t="shared" si="355"/>
        <v>1.28321942472309</v>
      </c>
      <c r="AZ385" t="str">
        <f t="shared" si="330"/>
        <v>1+161,637661206301i</v>
      </c>
      <c r="BA385">
        <f t="shared" si="356"/>
        <v>161.640754515199</v>
      </c>
      <c r="BB385">
        <f t="shared" si="357"/>
        <v>1.5646097287304</v>
      </c>
      <c r="BC385" s="30" t="str">
        <f t="shared" si="358"/>
        <v>-0,0388462336410946+0,134388042750639i</v>
      </c>
      <c r="BD385" s="32">
        <f t="shared" si="359"/>
        <v>-17.0842746297542</v>
      </c>
      <c r="BE385" s="31">
        <f t="shared" si="360"/>
        <v>106.122476815522</v>
      </c>
      <c r="BF385" s="30" t="str">
        <f t="shared" si="361"/>
        <v>0,489322301951875-0,337769789659458i</v>
      </c>
      <c r="BG385" s="68">
        <f t="shared" si="362"/>
        <v>-4.51580181096127</v>
      </c>
      <c r="BH385" s="31">
        <f t="shared" si="363"/>
        <v>-34.6165735243787</v>
      </c>
      <c r="BI385" s="30" t="str">
        <f t="shared" si="369"/>
        <v>0,752416209549207+0,638420138165532i</v>
      </c>
      <c r="BJ385" s="68">
        <f t="shared" si="364"/>
        <v>-0.115701801159768</v>
      </c>
      <c r="BK385" s="31">
        <f t="shared" si="370"/>
        <v>40.3143828352717</v>
      </c>
      <c r="BL385" s="32">
        <f t="shared" si="365"/>
        <v>-4.51580181096127</v>
      </c>
      <c r="BM385" s="31">
        <f t="shared" si="366"/>
        <v>-34.6165735243787</v>
      </c>
      <c r="BO385">
        <f t="shared" si="367"/>
        <v>0</v>
      </c>
      <c r="BP385">
        <f t="shared" si="368"/>
        <v>0</v>
      </c>
    </row>
    <row r="386" spans="14:68">
      <c r="N386" s="7">
        <v>68</v>
      </c>
      <c r="O386" s="18">
        <f t="shared" si="371"/>
        <v>47863.0092322638</v>
      </c>
      <c r="P386" s="86" t="str">
        <f t="shared" si="319"/>
        <v>54,5454545454545</v>
      </c>
      <c r="Q386" s="4" t="str">
        <f t="shared" si="320"/>
        <v>1+612,400027508051i</v>
      </c>
      <c r="R386" s="4">
        <f t="shared" si="331"/>
        <v>612.4008439673</v>
      </c>
      <c r="S386" s="4">
        <f t="shared" si="332"/>
        <v>1.56916340865924</v>
      </c>
      <c r="T386" s="4" t="str">
        <f t="shared" si="321"/>
        <v>1+4,715480211812i</v>
      </c>
      <c r="U386" s="4">
        <f t="shared" si="333"/>
        <v>4.82034787416744</v>
      </c>
      <c r="V386" s="4">
        <f t="shared" si="334"/>
        <v>1.36182480419111</v>
      </c>
      <c r="W386" t="str">
        <f t="shared" si="322"/>
        <v>1-13,5329470364503i</v>
      </c>
      <c r="X386" s="4">
        <f t="shared" si="335"/>
        <v>13.5698436060026</v>
      </c>
      <c r="Y386" s="4">
        <f t="shared" si="336"/>
        <v>-1.49703664662987</v>
      </c>
      <c r="Z386" t="str">
        <f t="shared" si="323"/>
        <v>0,981299039569243+0,934417771564422i</v>
      </c>
      <c r="AA386" s="4">
        <f t="shared" si="337"/>
        <v>1.35502191010881</v>
      </c>
      <c r="AB386" s="4">
        <f t="shared" si="338"/>
        <v>0.760931127130436</v>
      </c>
      <c r="AC386" s="67" t="str">
        <f t="shared" si="339"/>
        <v>-3,35328149304411-2,691134097179i</v>
      </c>
      <c r="AD386" s="68">
        <f t="shared" si="340"/>
        <v>12.668593818662</v>
      </c>
      <c r="AE386" s="31">
        <f t="shared" si="341"/>
        <v>-141.251650679172</v>
      </c>
      <c r="AF386" s="32" t="str">
        <f t="shared" si="342"/>
        <v>432,040091031901</v>
      </c>
      <c r="AG386" s="32" t="str">
        <f t="shared" si="324"/>
        <v>1+498,99261500656i</v>
      </c>
      <c r="AH386" s="32">
        <f t="shared" si="343"/>
        <v>498.993617024391</v>
      </c>
      <c r="AI386" s="32">
        <f t="shared" si="344"/>
        <v>1.56879229180278</v>
      </c>
      <c r="AJ386" s="32" t="str">
        <f t="shared" si="325"/>
        <v>1+4,715480211812i</v>
      </c>
      <c r="AK386" s="32">
        <f t="shared" si="345"/>
        <v>4.82034787416744</v>
      </c>
      <c r="AL386" s="32">
        <f t="shared" si="346"/>
        <v>1.36182480419111</v>
      </c>
      <c r="AM386" s="32" t="str">
        <f t="shared" si="326"/>
        <v>1-1,39211937505589i</v>
      </c>
      <c r="AN386" s="32">
        <f t="shared" si="347"/>
        <v>1.71405844544636</v>
      </c>
      <c r="AO386" s="32">
        <f t="shared" si="348"/>
        <v>-0.94787451323077</v>
      </c>
      <c r="AP386" s="30" t="str">
        <f t="shared" si="349"/>
        <v>2,89056154830207-6,5437473807012i</v>
      </c>
      <c r="AQ386" s="32">
        <f t="shared" si="350"/>
        <v>17.0906613273967</v>
      </c>
      <c r="AR386" s="31">
        <f t="shared" si="351"/>
        <v>-66.1675726527156</v>
      </c>
      <c r="AS386" t="str">
        <f t="shared" si="327"/>
        <v>-0,000201496259351621</v>
      </c>
      <c r="AT386" t="str">
        <f t="shared" si="328"/>
        <v>0,0675745155353415i</v>
      </c>
      <c r="AU386">
        <f t="shared" si="352"/>
        <v>0.0675745155353415</v>
      </c>
      <c r="AV386">
        <f t="shared" si="353"/>
        <v>1.5707963267949</v>
      </c>
      <c r="AW386" t="str">
        <f t="shared" si="329"/>
        <v>1+3,45969125146852i</v>
      </c>
      <c r="AX386">
        <f t="shared" si="354"/>
        <v>3.6013141428495</v>
      </c>
      <c r="AY386">
        <f t="shared" si="355"/>
        <v>1.28942176738628</v>
      </c>
      <c r="AZ386" t="str">
        <f t="shared" si="330"/>
        <v>1+165,402686001058i</v>
      </c>
      <c r="BA386">
        <f t="shared" si="356"/>
        <v>165.405708898951</v>
      </c>
      <c r="BB386">
        <f t="shared" si="357"/>
        <v>1.56475054942369</v>
      </c>
      <c r="BC386" s="30" t="str">
        <f t="shared" si="358"/>
        <v>-0,0372326716629826+0,131795386437451i</v>
      </c>
      <c r="BD386" s="32">
        <f t="shared" si="359"/>
        <v>-17.2685292847745</v>
      </c>
      <c r="BE386" s="31">
        <f t="shared" si="360"/>
        <v>105.775177189221</v>
      </c>
      <c r="BF386" s="30" t="str">
        <f t="shared" si="361"/>
        <v>0,479530687116775-0,341748917967978i</v>
      </c>
      <c r="BG386" s="68">
        <f t="shared" si="362"/>
        <v>-4.59993546611256</v>
      </c>
      <c r="BH386" s="31">
        <f t="shared" si="363"/>
        <v>-35.4764734899516</v>
      </c>
      <c r="BI386" s="30" t="str">
        <f t="shared" si="369"/>
        <v>0,754812385738999+0,624603873950858i</v>
      </c>
      <c r="BJ386" s="68">
        <f t="shared" si="364"/>
        <v>-0.177867957377792</v>
      </c>
      <c r="BK386" s="31">
        <f t="shared" si="370"/>
        <v>39.6076045365051</v>
      </c>
      <c r="BL386" s="32">
        <f t="shared" si="365"/>
        <v>-4.59993546611256</v>
      </c>
      <c r="BM386" s="31">
        <f t="shared" si="366"/>
        <v>-35.4764734899516</v>
      </c>
      <c r="BO386">
        <f t="shared" si="367"/>
        <v>0</v>
      </c>
      <c r="BP386">
        <f t="shared" si="368"/>
        <v>0</v>
      </c>
    </row>
    <row r="387" spans="14:68">
      <c r="N387" s="7">
        <v>69</v>
      </c>
      <c r="O387" s="18">
        <f t="shared" si="371"/>
        <v>48977.8819368446</v>
      </c>
      <c r="P387" s="86" t="str">
        <f t="shared" si="319"/>
        <v>54,5454545454545</v>
      </c>
      <c r="Q387" s="4" t="str">
        <f t="shared" si="320"/>
        <v>1+626,664656621528i</v>
      </c>
      <c r="R387" s="4">
        <f t="shared" si="331"/>
        <v>626.66545449592</v>
      </c>
      <c r="S387" s="4">
        <f t="shared" si="332"/>
        <v>1.56920057835013</v>
      </c>
      <c r="T387" s="4" t="str">
        <f t="shared" si="321"/>
        <v>1+4,82531785598578i</v>
      </c>
      <c r="U387" s="4">
        <f t="shared" si="333"/>
        <v>4.92784865953645</v>
      </c>
      <c r="V387" s="4">
        <f t="shared" si="334"/>
        <v>1.36644879555187</v>
      </c>
      <c r="W387" t="str">
        <f t="shared" si="322"/>
        <v>1-13,8481698673061i</v>
      </c>
      <c r="X387" s="4">
        <f t="shared" si="335"/>
        <v>13.8842287749001</v>
      </c>
      <c r="Y387" s="4">
        <f t="shared" si="336"/>
        <v>-1.49870974418293</v>
      </c>
      <c r="Z387" t="str">
        <f t="shared" si="323"/>
        <v>0,980417690456984+0,95618315750447i</v>
      </c>
      <c r="AA387" s="4">
        <f t="shared" si="337"/>
        <v>1.36949080992032</v>
      </c>
      <c r="AB387" s="4">
        <f t="shared" si="338"/>
        <v>0.772884863063995</v>
      </c>
      <c r="AC387" s="67" t="str">
        <f t="shared" si="339"/>
        <v>-3,41589789966376-2,69098204452135i</v>
      </c>
      <c r="AD387" s="68">
        <f t="shared" si="340"/>
        <v>12.7668562241976</v>
      </c>
      <c r="AE387" s="31">
        <f t="shared" si="341"/>
        <v>-141.76960520302</v>
      </c>
      <c r="AF387" s="32" t="str">
        <f t="shared" si="342"/>
        <v>432,040091031901</v>
      </c>
      <c r="AG387" s="32" t="str">
        <f t="shared" si="324"/>
        <v>1+510,61564613606i</v>
      </c>
      <c r="AH387" s="32">
        <f t="shared" si="343"/>
        <v>510.616625345225</v>
      </c>
      <c r="AI387" s="32">
        <f t="shared" si="344"/>
        <v>1.5688379090905</v>
      </c>
      <c r="AJ387" s="32" t="str">
        <f t="shared" si="325"/>
        <v>1+4,82531785598578i</v>
      </c>
      <c r="AK387" s="32">
        <f t="shared" si="345"/>
        <v>4.92784865953645</v>
      </c>
      <c r="AL387" s="32">
        <f t="shared" si="346"/>
        <v>1.36644879555187</v>
      </c>
      <c r="AM387" s="32" t="str">
        <f t="shared" si="326"/>
        <v>1-1,42454600091295i</v>
      </c>
      <c r="AN387" s="32">
        <f t="shared" si="347"/>
        <v>1.74049743140203</v>
      </c>
      <c r="AO387" s="32">
        <f t="shared" si="348"/>
        <v>-0.958744056593777</v>
      </c>
      <c r="AP387" s="30" t="str">
        <f t="shared" si="349"/>
        <v>2,89048397669326-6,65656156076777i</v>
      </c>
      <c r="AQ387" s="32">
        <f t="shared" si="350"/>
        <v>17.2151969238491</v>
      </c>
      <c r="AR387" s="31">
        <f t="shared" si="351"/>
        <v>-66.5280301012327</v>
      </c>
      <c r="AS387" t="str">
        <f t="shared" si="327"/>
        <v>-0,000201496259351621</v>
      </c>
      <c r="AT387" t="str">
        <f t="shared" si="328"/>
        <v>0,0691485282040819i</v>
      </c>
      <c r="AU387">
        <f t="shared" si="352"/>
        <v>0.0691485282040819</v>
      </c>
      <c r="AV387">
        <f t="shared" si="353"/>
        <v>1.5707963267949</v>
      </c>
      <c r="AW387" t="str">
        <f t="shared" si="329"/>
        <v>1+3,54027781308276i</v>
      </c>
      <c r="AX387">
        <f t="shared" si="354"/>
        <v>3.67879966752826</v>
      </c>
      <c r="AY387">
        <f t="shared" si="355"/>
        <v>1.2955044920596</v>
      </c>
      <c r="AZ387" t="str">
        <f t="shared" si="330"/>
        <v>1+169,255409489297i</v>
      </c>
      <c r="BA387">
        <f t="shared" si="356"/>
        <v>169.258363578848</v>
      </c>
      <c r="BB387">
        <f t="shared" si="357"/>
        <v>1.56488816487835</v>
      </c>
      <c r="BC387" s="30" t="str">
        <f t="shared" si="358"/>
        <v>-0,0356807468738656+0,12923371960809i</v>
      </c>
      <c r="BD387" s="32">
        <f t="shared" si="359"/>
        <v>-17.4534390693259</v>
      </c>
      <c r="BE387" s="31">
        <f t="shared" si="360"/>
        <v>105.434547522247</v>
      </c>
      <c r="BF387" s="30" t="str">
        <f t="shared" si="361"/>
        <v>0,469647407316949-0,345432942202326i</v>
      </c>
      <c r="BG387" s="68">
        <f t="shared" si="362"/>
        <v>-4.68658284512834</v>
      </c>
      <c r="BH387" s="31">
        <f t="shared" si="363"/>
        <v>-36.3350576807726</v>
      </c>
      <c r="BI387" s="30" t="str">
        <f t="shared" si="369"/>
        <v>0,757117583182895+0,611059083875712i</v>
      </c>
      <c r="BJ387" s="68">
        <f t="shared" si="364"/>
        <v>-0.238242145476818</v>
      </c>
      <c r="BK387" s="31">
        <f t="shared" si="370"/>
        <v>38.9065174210146</v>
      </c>
      <c r="BL387" s="32">
        <f t="shared" si="365"/>
        <v>-4.68658284512834</v>
      </c>
      <c r="BM387" s="31">
        <f t="shared" si="366"/>
        <v>-36.3350576807726</v>
      </c>
      <c r="BO387">
        <f t="shared" si="367"/>
        <v>0</v>
      </c>
      <c r="BP387">
        <f t="shared" si="368"/>
        <v>0</v>
      </c>
    </row>
    <row r="388" spans="14:68">
      <c r="N388" s="7">
        <v>70</v>
      </c>
      <c r="O388" s="18">
        <f t="shared" si="371"/>
        <v>50118.7233627273</v>
      </c>
      <c r="P388" s="86" t="str">
        <f t="shared" si="319"/>
        <v>54,5454545454545</v>
      </c>
      <c r="Q388" s="4" t="str">
        <f t="shared" si="320"/>
        <v>1+641,261551630836i</v>
      </c>
      <c r="R388" s="4">
        <f t="shared" si="331"/>
        <v>641.262331343411</v>
      </c>
      <c r="S388" s="4">
        <f t="shared" si="332"/>
        <v>1.56923690195981</v>
      </c>
      <c r="T388" s="4" t="str">
        <f t="shared" si="321"/>
        <v>1+4,93771394755745i</v>
      </c>
      <c r="U388" s="4">
        <f t="shared" si="333"/>
        <v>5.03795782315646</v>
      </c>
      <c r="V388" s="4">
        <f t="shared" si="334"/>
        <v>1.37097611150412</v>
      </c>
      <c r="W388" t="str">
        <f t="shared" si="322"/>
        <v>1-14,1707351811279i</v>
      </c>
      <c r="X388" s="4">
        <f t="shared" si="335"/>
        <v>14.2059753474957</v>
      </c>
      <c r="Y388" s="4">
        <f t="shared" si="336"/>
        <v>-1.50034514812679</v>
      </c>
      <c r="Z388" t="str">
        <f t="shared" si="323"/>
        <v>0,979494804640738+0,97845552441121i</v>
      </c>
      <c r="AA388" s="4">
        <f t="shared" si="337"/>
        <v>1.3844801499368</v>
      </c>
      <c r="AB388" s="4">
        <f t="shared" si="338"/>
        <v>0.784867363347773</v>
      </c>
      <c r="AC388" s="67" t="str">
        <f t="shared" si="339"/>
        <v>-3,47870150563321-2,68936975086364i</v>
      </c>
      <c r="AD388" s="68">
        <f t="shared" si="340"/>
        <v>12.8632337250107</v>
      </c>
      <c r="AE388" s="31">
        <f t="shared" si="341"/>
        <v>-142.292538734022</v>
      </c>
      <c r="AF388" s="32" t="str">
        <f t="shared" si="342"/>
        <v>432,040091031901</v>
      </c>
      <c r="AG388" s="32" t="str">
        <f t="shared" si="324"/>
        <v>1+522,509412439941i</v>
      </c>
      <c r="AH388" s="32">
        <f t="shared" si="343"/>
        <v>522.510369359626</v>
      </c>
      <c r="AI388" s="32">
        <f t="shared" si="344"/>
        <v>1.56888248800986</v>
      </c>
      <c r="AJ388" s="32" t="str">
        <f t="shared" si="325"/>
        <v>1+4,93771394755745i</v>
      </c>
      <c r="AK388" s="32">
        <f t="shared" si="345"/>
        <v>5.03795782315646</v>
      </c>
      <c r="AL388" s="32">
        <f t="shared" si="346"/>
        <v>1.37097611150412</v>
      </c>
      <c r="AM388" s="32" t="str">
        <f t="shared" si="326"/>
        <v>1-1,4577279399158i</v>
      </c>
      <c r="AN388" s="32">
        <f t="shared" si="347"/>
        <v>1.76775867889573</v>
      </c>
      <c r="AO388" s="32">
        <f t="shared" si="348"/>
        <v>-0.969528899286172</v>
      </c>
      <c r="AP388" s="30" t="str">
        <f t="shared" si="349"/>
        <v>2,89040989635577-6,77290512420545i</v>
      </c>
      <c r="AQ388" s="32">
        <f t="shared" si="350"/>
        <v>17.3421328161571</v>
      </c>
      <c r="AR388" s="31">
        <f t="shared" si="351"/>
        <v>-66.8891141575679</v>
      </c>
      <c r="AS388" t="str">
        <f t="shared" si="327"/>
        <v>-0,000201496259351621</v>
      </c>
      <c r="AT388" t="str">
        <f t="shared" si="328"/>
        <v>0,0707592043377653i</v>
      </c>
      <c r="AU388">
        <f t="shared" si="352"/>
        <v>0.0707592043377653</v>
      </c>
      <c r="AV388">
        <f t="shared" si="353"/>
        <v>1.5707963267949</v>
      </c>
      <c r="AW388" t="str">
        <f t="shared" si="329"/>
        <v>1+3,62274147685463i</v>
      </c>
      <c r="AX388">
        <f t="shared" si="354"/>
        <v>3.75822508747452</v>
      </c>
      <c r="AY388">
        <f t="shared" si="355"/>
        <v>1.30146902271906</v>
      </c>
      <c r="AZ388" t="str">
        <f t="shared" si="330"/>
        <v>1+173,197874436007i</v>
      </c>
      <c r="BA388">
        <f t="shared" si="356"/>
        <v>173.200761283404</v>
      </c>
      <c r="BB388">
        <f t="shared" si="357"/>
        <v>1.56502264803906</v>
      </c>
      <c r="BC388" s="30" t="str">
        <f t="shared" si="358"/>
        <v>-0,0341885466226679+0,126703899081534i</v>
      </c>
      <c r="BD388" s="32">
        <f t="shared" si="359"/>
        <v>-17.6389788667908</v>
      </c>
      <c r="BE388" s="31">
        <f t="shared" si="360"/>
        <v>105.100510406208</v>
      </c>
      <c r="BF388" s="30" t="str">
        <f t="shared" si="361"/>
        <v>0,459685382118043-0,348819401391536i</v>
      </c>
      <c r="BG388" s="68">
        <f t="shared" si="362"/>
        <v>-4.77574514178005</v>
      </c>
      <c r="BH388" s="31">
        <f t="shared" si="363"/>
        <v>-37.1920283278137</v>
      </c>
      <c r="BI388" s="30" t="str">
        <f t="shared" si="369"/>
        <v>0,759334573845952+0,597781986421933i</v>
      </c>
      <c r="BJ388" s="68">
        <f t="shared" si="364"/>
        <v>-0.29684605063362</v>
      </c>
      <c r="BK388" s="31">
        <f t="shared" si="370"/>
        <v>38.2113962486405</v>
      </c>
      <c r="BL388" s="32">
        <f t="shared" si="365"/>
        <v>-4.77574514178005</v>
      </c>
      <c r="BM388" s="31">
        <f t="shared" si="366"/>
        <v>-37.1920283278137</v>
      </c>
      <c r="BO388">
        <f t="shared" si="367"/>
        <v>0</v>
      </c>
      <c r="BP388">
        <f t="shared" si="368"/>
        <v>0</v>
      </c>
    </row>
    <row r="389" spans="14:68">
      <c r="N389" s="7">
        <v>71</v>
      </c>
      <c r="O389" s="18">
        <f t="shared" si="371"/>
        <v>51286.1383991365</v>
      </c>
      <c r="P389" s="86" t="str">
        <f t="shared" si="319"/>
        <v>54,5454545454545</v>
      </c>
      <c r="Q389" s="4" t="str">
        <f t="shared" si="320"/>
        <v>1+656,198452002917i</v>
      </c>
      <c r="R389" s="4">
        <f t="shared" si="331"/>
        <v>656.199213967088</v>
      </c>
      <c r="S389" s="4">
        <f t="shared" si="332"/>
        <v>1.56927239874717</v>
      </c>
      <c r="T389" s="4" t="str">
        <f t="shared" si="321"/>
        <v>1+5,05272808042247i</v>
      </c>
      <c r="U389" s="4">
        <f t="shared" si="333"/>
        <v>5.15073403066881</v>
      </c>
      <c r="V389" s="4">
        <f t="shared" si="334"/>
        <v>1.37540840978404</v>
      </c>
      <c r="W389" t="str">
        <f t="shared" si="322"/>
        <v>1-14,5008140063145i</v>
      </c>
      <c r="X389" s="4">
        <f t="shared" si="335"/>
        <v>14.5352539312434</v>
      </c>
      <c r="Y389" s="4">
        <f t="shared" si="336"/>
        <v>-1.5019436905629</v>
      </c>
      <c r="Z389" t="str">
        <f t="shared" si="323"/>
        <v>0,978528424555956+1,00124668138838i</v>
      </c>
      <c r="AA389" s="4">
        <f t="shared" si="337"/>
        <v>1.40000456951226</v>
      </c>
      <c r="AB389" s="4">
        <f t="shared" si="338"/>
        <v>0.796872830225249</v>
      </c>
      <c r="AC389" s="67" t="str">
        <f t="shared" si="339"/>
        <v>-3,54162596516666-2,68628531752174i</v>
      </c>
      <c r="AD389" s="68">
        <f t="shared" si="340"/>
        <v>12.9577030848257</v>
      </c>
      <c r="AE389" s="31">
        <f t="shared" si="341"/>
        <v>-142.820072883267</v>
      </c>
      <c r="AF389" s="32" t="str">
        <f t="shared" si="342"/>
        <v>432,040091031901</v>
      </c>
      <c r="AG389" s="32" t="str">
        <f t="shared" si="324"/>
        <v>1+534,680220150525i</v>
      </c>
      <c r="AH389" s="32">
        <f t="shared" si="343"/>
        <v>534.681155288097</v>
      </c>
      <c r="AI389" s="32">
        <f t="shared" si="344"/>
        <v>1.56892605219648</v>
      </c>
      <c r="AJ389" s="32" t="str">
        <f t="shared" si="325"/>
        <v>1+5,05272808042247i</v>
      </c>
      <c r="AK389" s="32">
        <f t="shared" si="345"/>
        <v>5.15073403066881</v>
      </c>
      <c r="AL389" s="32">
        <f t="shared" si="346"/>
        <v>1.37540840978404</v>
      </c>
      <c r="AM389" s="32" t="str">
        <f t="shared" si="326"/>
        <v>1-1,4916827855677i</v>
      </c>
      <c r="AN389" s="32">
        <f t="shared" si="347"/>
        <v>1.79586122313474</v>
      </c>
      <c r="AO389" s="32">
        <f t="shared" si="348"/>
        <v>-0.980224724321943</v>
      </c>
      <c r="AP389" s="30" t="str">
        <f t="shared" si="349"/>
        <v>2,89033915015883-6,89283975882453i</v>
      </c>
      <c r="AQ389" s="32">
        <f t="shared" si="350"/>
        <v>17.471421379681</v>
      </c>
      <c r="AR389" s="31">
        <f t="shared" si="351"/>
        <v>-67.2504838495765</v>
      </c>
      <c r="AS389" t="str">
        <f t="shared" si="327"/>
        <v>-0,000201496259351621</v>
      </c>
      <c r="AT389" t="str">
        <f t="shared" si="328"/>
        <v>0,072407397938197i</v>
      </c>
      <c r="AU389">
        <f t="shared" si="352"/>
        <v>0.072407397938197</v>
      </c>
      <c r="AV389">
        <f t="shared" si="353"/>
        <v>1.5707963267949</v>
      </c>
      <c r="AW389" t="str">
        <f t="shared" si="329"/>
        <v>1+3,70712596611017i</v>
      </c>
      <c r="AX389">
        <f t="shared" si="354"/>
        <v>3.83963317630842</v>
      </c>
      <c r="AY389">
        <f t="shared" si="355"/>
        <v>1.3073168236294</v>
      </c>
      <c r="AZ389" t="str">
        <f t="shared" si="330"/>
        <v>1+177,232171188288i</v>
      </c>
      <c r="BA389">
        <f t="shared" si="356"/>
        <v>177.234992324074</v>
      </c>
      <c r="BB389">
        <f t="shared" si="357"/>
        <v>1.56515407019111</v>
      </c>
      <c r="BC389" s="30" t="str">
        <f t="shared" si="358"/>
        <v>-0,0327541808452906+0,124206687463172i</v>
      </c>
      <c r="BD389" s="32">
        <f t="shared" si="359"/>
        <v>-17.8251243474803</v>
      </c>
      <c r="BE389" s="31">
        <f t="shared" si="360"/>
        <v>104.77298602926</v>
      </c>
      <c r="BF389" s="30" t="str">
        <f t="shared" si="361"/>
        <v>0,449657658219776-0,351906554274754i</v>
      </c>
      <c r="BG389" s="68">
        <f t="shared" si="362"/>
        <v>-4.8674212626546</v>
      </c>
      <c r="BH389" s="31">
        <f t="shared" si="363"/>
        <v>-38.0470868540071</v>
      </c>
      <c r="BI389" s="30" t="str">
        <f t="shared" si="369"/>
        <v>0,761466102429518+0,584768771484496i</v>
      </c>
      <c r="BJ389" s="68">
        <f t="shared" si="364"/>
        <v>-0.35370296779925</v>
      </c>
      <c r="BK389" s="31">
        <f t="shared" si="370"/>
        <v>37.5225021796834</v>
      </c>
      <c r="BL389" s="32">
        <f t="shared" si="365"/>
        <v>-4.8674212626546</v>
      </c>
      <c r="BM389" s="31">
        <f t="shared" si="366"/>
        <v>-38.0470868540071</v>
      </c>
      <c r="BO389">
        <f t="shared" si="367"/>
        <v>0</v>
      </c>
      <c r="BP389">
        <f t="shared" si="368"/>
        <v>0</v>
      </c>
    </row>
    <row r="390" spans="14:68">
      <c r="N390" s="7">
        <v>72</v>
      </c>
      <c r="O390" s="18">
        <f t="shared" si="371"/>
        <v>52480.7460249773</v>
      </c>
      <c r="P390" s="86" t="str">
        <f t="shared" si="319"/>
        <v>54,5454545454545</v>
      </c>
      <c r="Q390" s="4" t="str">
        <f t="shared" si="320"/>
        <v>1+671,483277480065i</v>
      </c>
      <c r="R390" s="4">
        <f t="shared" si="331"/>
        <v>671.484022099834</v>
      </c>
      <c r="S390" s="4">
        <f t="shared" si="332"/>
        <v>1.56930708753271</v>
      </c>
      <c r="T390" s="4" t="str">
        <f t="shared" si="321"/>
        <v>1+5,17042123659651i</v>
      </c>
      <c r="U390" s="4">
        <f t="shared" si="333"/>
        <v>5.26623734404823</v>
      </c>
      <c r="V390" s="4">
        <f t="shared" si="334"/>
        <v>1.37974734353364</v>
      </c>
      <c r="W390" t="str">
        <f t="shared" si="322"/>
        <v>1-14,8385813550283i</v>
      </c>
      <c r="X390" s="4">
        <f t="shared" si="335"/>
        <v>14.8722391262981</v>
      </c>
      <c r="Y390" s="4">
        <f t="shared" si="336"/>
        <v>-1.50350618636275</v>
      </c>
      <c r="Z390" t="str">
        <f t="shared" si="323"/>
        <v>0,977516500380913+1,02456871260909i</v>
      </c>
      <c r="AA390" s="4">
        <f t="shared" si="337"/>
        <v>1.41607893684441</v>
      </c>
      <c r="AB390" s="4">
        <f t="shared" si="338"/>
        <v>0.808895441176983</v>
      </c>
      <c r="AC390" s="67" t="str">
        <f t="shared" si="339"/>
        <v>-3,60460438107522-2,68172063721286i</v>
      </c>
      <c r="AD390" s="68">
        <f t="shared" si="340"/>
        <v>13.0502441444009</v>
      </c>
      <c r="AE390" s="31">
        <f t="shared" si="341"/>
        <v>-143.351827093937</v>
      </c>
      <c r="AF390" s="32" t="str">
        <f t="shared" si="342"/>
        <v>432,040091031901</v>
      </c>
      <c r="AG390" s="32" t="str">
        <f t="shared" si="324"/>
        <v>1+547,134522391164i</v>
      </c>
      <c r="AH390" s="32">
        <f t="shared" si="343"/>
        <v>547.135436242442</v>
      </c>
      <c r="AI390" s="32">
        <f t="shared" si="344"/>
        <v>1.568968624748</v>
      </c>
      <c r="AJ390" s="32" t="str">
        <f t="shared" si="325"/>
        <v>1+5,17042123659651i</v>
      </c>
      <c r="AK390" s="32">
        <f t="shared" si="345"/>
        <v>5.26623734404823</v>
      </c>
      <c r="AL390" s="32">
        <f t="shared" si="346"/>
        <v>1.37974734353364</v>
      </c>
      <c r="AM390" s="32" t="str">
        <f t="shared" si="326"/>
        <v>1-1,52642854117726i</v>
      </c>
      <c r="AN390" s="32">
        <f t="shared" si="347"/>
        <v>1.82482440013294</v>
      </c>
      <c r="AO390" s="32">
        <f t="shared" si="348"/>
        <v>-0.990827413869498</v>
      </c>
      <c r="AP390" s="30" t="str">
        <f t="shared" si="349"/>
        <v>2,89027158804347-7,0164290564078i</v>
      </c>
      <c r="AQ390" s="32">
        <f t="shared" si="350"/>
        <v>17.6030142623968</v>
      </c>
      <c r="AR390" s="31">
        <f t="shared" si="351"/>
        <v>-67.6118098482256</v>
      </c>
      <c r="AS390" t="str">
        <f t="shared" si="327"/>
        <v>-0,000201496259351621</v>
      </c>
      <c r="AT390" t="str">
        <f t="shared" si="328"/>
        <v>0,074093982899441i</v>
      </c>
      <c r="AU390">
        <f t="shared" si="352"/>
        <v>0.074093982899441</v>
      </c>
      <c r="AV390">
        <f t="shared" si="353"/>
        <v>1.5707963267949</v>
      </c>
      <c r="AW390" t="str">
        <f t="shared" si="329"/>
        <v>1+3,79347602262256i</v>
      </c>
      <c r="AX390">
        <f t="shared" si="354"/>
        <v>3.92306771980962</v>
      </c>
      <c r="AY390">
        <f t="shared" si="355"/>
        <v>1.31304939491924</v>
      </c>
      <c r="AZ390" t="str">
        <f t="shared" si="330"/>
        <v>1+181,360438783678i</v>
      </c>
      <c r="BA390">
        <f t="shared" si="356"/>
        <v>181.363195703561</v>
      </c>
      <c r="BB390">
        <f t="shared" si="357"/>
        <v>1.56528250099808</v>
      </c>
      <c r="BC390" s="30" t="str">
        <f t="shared" si="358"/>
        <v>-0,0313757852410081+0,121742757594724i</v>
      </c>
      <c r="BD390" s="32">
        <f t="shared" si="359"/>
        <v>-18.0118519586396</v>
      </c>
      <c r="BE390" s="31">
        <f t="shared" si="360"/>
        <v>104.451892431793</v>
      </c>
      <c r="BF390" s="30" t="str">
        <f t="shared" si="361"/>
        <v>0,439577358412387-0,354693386600551i</v>
      </c>
      <c r="BG390" s="68">
        <f t="shared" si="362"/>
        <v>-4.96160781423877</v>
      </c>
      <c r="BH390" s="31">
        <f t="shared" si="363"/>
        <v>-38.899934662144</v>
      </c>
      <c r="BI390" s="30" t="str">
        <f t="shared" si="369"/>
        <v>0,763514881160193+0,572015604558714i</v>
      </c>
      <c r="BJ390" s="68">
        <f t="shared" si="364"/>
        <v>-0.408837696242865</v>
      </c>
      <c r="BK390" s="31">
        <f t="shared" si="370"/>
        <v>36.8400825835673</v>
      </c>
      <c r="BL390" s="32">
        <f t="shared" si="365"/>
        <v>-4.96160781423877</v>
      </c>
      <c r="BM390" s="31">
        <f t="shared" si="366"/>
        <v>-38.899934662144</v>
      </c>
      <c r="BO390">
        <f t="shared" si="367"/>
        <v>0</v>
      </c>
      <c r="BP390">
        <f t="shared" si="368"/>
        <v>0</v>
      </c>
    </row>
    <row r="391" spans="14:68">
      <c r="N391" s="7">
        <v>73</v>
      </c>
      <c r="O391" s="18">
        <f t="shared" si="371"/>
        <v>53703.1796370254</v>
      </c>
      <c r="P391" s="86" t="str">
        <f t="shared" si="319"/>
        <v>54,5454545454545</v>
      </c>
      <c r="Q391" s="4" t="str">
        <f t="shared" si="320"/>
        <v>1+687,124132279065i</v>
      </c>
      <c r="R391" s="4">
        <f t="shared" si="331"/>
        <v>687.124859949237</v>
      </c>
      <c r="S391" s="4">
        <f t="shared" si="332"/>
        <v>1.56934098670856</v>
      </c>
      <c r="T391" s="4" t="str">
        <f t="shared" si="321"/>
        <v>1+5,29085581854881i</v>
      </c>
      <c r="U391" s="4">
        <f t="shared" si="333"/>
        <v>5.38452925450979</v>
      </c>
      <c r="V391" s="4">
        <f t="shared" si="334"/>
        <v>1.383994559509</v>
      </c>
      <c r="W391" t="str">
        <f t="shared" si="322"/>
        <v>1-15,1842163159883i</v>
      </c>
      <c r="X391" s="4">
        <f t="shared" si="335"/>
        <v>15.2171096181478</v>
      </c>
      <c r="Y391" s="4">
        <f t="shared" si="336"/>
        <v>-1.5050334334478</v>
      </c>
      <c r="Z391" t="str">
        <f t="shared" si="323"/>
        <v>0,976456885688762+1,048433983723i</v>
      </c>
      <c r="AA391" s="4">
        <f t="shared" si="337"/>
        <v>1.43271834909527</v>
      </c>
      <c r="AB391" s="4">
        <f t="shared" si="338"/>
        <v>0.820929365112085</v>
      </c>
      <c r="AC391" s="67" t="str">
        <f t="shared" si="339"/>
        <v>-3,66756958504361-2,6756714275662i</v>
      </c>
      <c r="AD391" s="68">
        <f t="shared" si="340"/>
        <v>13.1408398144967</v>
      </c>
      <c r="AE391" s="31">
        <f t="shared" si="341"/>
        <v>-143.887419688283</v>
      </c>
      <c r="AF391" s="32" t="str">
        <f t="shared" si="342"/>
        <v>432,040091031901</v>
      </c>
      <c r="AG391" s="32" t="str">
        <f t="shared" si="324"/>
        <v>1+559,878922597757i</v>
      </c>
      <c r="AH391" s="32">
        <f t="shared" si="343"/>
        <v>559.879815647274</v>
      </c>
      <c r="AI391" s="32">
        <f t="shared" si="344"/>
        <v>1.56901022823634</v>
      </c>
      <c r="AJ391" s="32" t="str">
        <f t="shared" si="325"/>
        <v>1+5,29085581854881i</v>
      </c>
      <c r="AK391" s="32">
        <f t="shared" si="345"/>
        <v>5.38452925450979</v>
      </c>
      <c r="AL391" s="32">
        <f t="shared" si="346"/>
        <v>1.383994559509</v>
      </c>
      <c r="AM391" s="32" t="str">
        <f t="shared" si="326"/>
        <v>1-1,56198362940403i</v>
      </c>
      <c r="AN391" s="32">
        <f t="shared" si="347"/>
        <v>1.85466785665957</v>
      </c>
      <c r="AO391" s="32">
        <f t="shared" si="348"/>
        <v>-1.00133305411573</v>
      </c>
      <c r="AP391" s="30" t="str">
        <f t="shared" si="349"/>
        <v>2,89020706670436-7,14373854643197i</v>
      </c>
      <c r="AQ391" s="32">
        <f t="shared" si="350"/>
        <v>17.7368624818081</v>
      </c>
      <c r="AR391" s="31">
        <f t="shared" si="351"/>
        <v>-67.9727748496433</v>
      </c>
      <c r="AS391" t="str">
        <f t="shared" si="327"/>
        <v>-0,000201496259351621</v>
      </c>
      <c r="AT391" t="str">
        <f t="shared" si="328"/>
        <v>0,0758198534711681i</v>
      </c>
      <c r="AU391">
        <f t="shared" si="352"/>
        <v>0.0758198534711681</v>
      </c>
      <c r="AV391">
        <f t="shared" si="353"/>
        <v>1.5707963267949</v>
      </c>
      <c r="AW391" t="str">
        <f t="shared" si="329"/>
        <v>1+3,88183743033474i</v>
      </c>
      <c r="AX391">
        <f t="shared" si="354"/>
        <v>4.0085735412423</v>
      </c>
      <c r="AY391">
        <f t="shared" si="355"/>
        <v>1.31866826836857</v>
      </c>
      <c r="AZ391" t="str">
        <f t="shared" si="330"/>
        <v>1+185,584866084301i</v>
      </c>
      <c r="BA391">
        <f t="shared" si="356"/>
        <v>185.587560249948</v>
      </c>
      <c r="BB391">
        <f t="shared" si="357"/>
        <v>1.56540800853873</v>
      </c>
      <c r="BC391" s="30" t="str">
        <f t="shared" si="358"/>
        <v>-0,030051524087602+0,119312696971188i</v>
      </c>
      <c r="BD391" s="32">
        <f t="shared" si="359"/>
        <v>-18.1991389132115</v>
      </c>
      <c r="BE391" s="31">
        <f t="shared" si="360"/>
        <v>104.137145749905</v>
      </c>
      <c r="BF391" s="30" t="str">
        <f t="shared" si="361"/>
        <v>0,429457629959567-0,35717961416504i</v>
      </c>
      <c r="BG391" s="68">
        <f t="shared" si="362"/>
        <v>-5.05829909871481</v>
      </c>
      <c r="BH391" s="31">
        <f t="shared" si="363"/>
        <v>-39.7502739383777</v>
      </c>
      <c r="BI391" s="30" t="str">
        <f t="shared" si="369"/>
        <v>0,765483585148609+0,559518630937315i</v>
      </c>
      <c r="BJ391" s="68">
        <f t="shared" si="364"/>
        <v>-0.462276431403426</v>
      </c>
      <c r="BK391" s="31">
        <f t="shared" si="370"/>
        <v>36.1643709002614</v>
      </c>
      <c r="BL391" s="32">
        <f t="shared" si="365"/>
        <v>-5.05829909871481</v>
      </c>
      <c r="BM391" s="31">
        <f t="shared" si="366"/>
        <v>-39.7502739383777</v>
      </c>
      <c r="BO391">
        <f t="shared" si="367"/>
        <v>0</v>
      </c>
      <c r="BP391">
        <f t="shared" si="368"/>
        <v>0</v>
      </c>
    </row>
    <row r="392" spans="14:68">
      <c r="N392" s="7">
        <v>74</v>
      </c>
      <c r="O392" s="18">
        <f t="shared" si="371"/>
        <v>54954.0873857625</v>
      </c>
      <c r="P392" s="86" t="str">
        <f t="shared" si="319"/>
        <v>54,5454545454545</v>
      </c>
      <c r="Q392" s="4" t="str">
        <f t="shared" si="320"/>
        <v>1+703,12930938816i</v>
      </c>
      <c r="R392" s="4">
        <f t="shared" si="331"/>
        <v>703.130020494553</v>
      </c>
      <c r="S392" s="4">
        <f t="shared" si="332"/>
        <v>1.56937411424819</v>
      </c>
      <c r="T392" s="4" t="str">
        <f t="shared" si="321"/>
        <v>1+5,41409568228884i</v>
      </c>
      <c r="U392" s="4">
        <f t="shared" si="333"/>
        <v>5.5056727161155</v>
      </c>
      <c r="V392" s="4">
        <f t="shared" si="334"/>
        <v>1.38815169642456</v>
      </c>
      <c r="W392" t="str">
        <f t="shared" si="322"/>
        <v>1-15,5379021494259i</v>
      </c>
      <c r="X392" s="4">
        <f t="shared" si="335"/>
        <v>15.5700482724086</v>
      </c>
      <c r="Y392" s="4">
        <f t="shared" si="336"/>
        <v>-1.5065262130704</v>
      </c>
      <c r="Z392" t="str">
        <f t="shared" si="323"/>
        <v>0,975347332894677+1,07285514841274i</v>
      </c>
      <c r="AA392" s="4">
        <f t="shared" si="337"/>
        <v>1.44993813290791</v>
      </c>
      <c r="AB392" s="4">
        <f t="shared" si="338"/>
        <v>0.832968778657124</v>
      </c>
      <c r="AC392" s="67" t="str">
        <f t="shared" si="339"/>
        <v>-3,7304544201861-2,66813723990707i</v>
      </c>
      <c r="AD392" s="68">
        <f t="shared" si="340"/>
        <v>13.229476058801</v>
      </c>
      <c r="AE392" s="31">
        <f t="shared" si="341"/>
        <v>-144.426468912431</v>
      </c>
      <c r="AF392" s="32" t="str">
        <f t="shared" si="342"/>
        <v>432,040091031901</v>
      </c>
      <c r="AG392" s="32" t="str">
        <f t="shared" si="324"/>
        <v>1+572,920178019982i</v>
      </c>
      <c r="AH392" s="32">
        <f t="shared" si="343"/>
        <v>572.921050741241</v>
      </c>
      <c r="AI392" s="32">
        <f t="shared" si="344"/>
        <v>1.56905088471964</v>
      </c>
      <c r="AJ392" s="32" t="str">
        <f t="shared" si="325"/>
        <v>1+5,41409568228884i</v>
      </c>
      <c r="AK392" s="32">
        <f t="shared" si="345"/>
        <v>5.5056727161155</v>
      </c>
      <c r="AL392" s="32">
        <f t="shared" si="346"/>
        <v>1.38815169642456</v>
      </c>
      <c r="AM392" s="32" t="str">
        <f t="shared" si="326"/>
        <v>1-1,5983669020264i</v>
      </c>
      <c r="AN392" s="32">
        <f t="shared" si="347"/>
        <v>1.8854115607722</v>
      </c>
      <c r="AO392" s="32">
        <f t="shared" si="348"/>
        <v>-1.01173793914938</v>
      </c>
      <c r="AP392" s="30" t="str">
        <f t="shared" si="349"/>
        <v>2,89014544928577-7,27483573081582i</v>
      </c>
      <c r="AQ392" s="32">
        <f t="shared" si="350"/>
        <v>17.8729165226228</v>
      </c>
      <c r="AR392" s="31">
        <f t="shared" si="351"/>
        <v>-68.333073893174</v>
      </c>
      <c r="AS392" t="str">
        <f t="shared" si="327"/>
        <v>-0,000201496259351621</v>
      </c>
      <c r="AT392" t="str">
        <f t="shared" si="328"/>
        <v>0,0775859247327998i</v>
      </c>
      <c r="AU392">
        <f t="shared" si="352"/>
        <v>0.0775859247327998</v>
      </c>
      <c r="AV392">
        <f t="shared" si="353"/>
        <v>1.5707963267949</v>
      </c>
      <c r="AW392" t="str">
        <f t="shared" si="329"/>
        <v>1+3,97225703963466i</v>
      </c>
      <c r="AX392">
        <f t="shared" si="354"/>
        <v>4.09619652713674</v>
      </c>
      <c r="AY392">
        <f t="shared" si="355"/>
        <v>1.32417500340649</v>
      </c>
      <c r="AZ392" t="str">
        <f t="shared" si="330"/>
        <v>1+189,907692937427i</v>
      </c>
      <c r="BA392">
        <f t="shared" si="356"/>
        <v>189.910325777236</v>
      </c>
      <c r="BB392">
        <f t="shared" si="357"/>
        <v>1.565530659343</v>
      </c>
      <c r="BC392" s="30" t="str">
        <f t="shared" si="358"/>
        <v>-0,0287795927155553+0,116917012105467i</v>
      </c>
      <c r="BD392" s="32">
        <f t="shared" si="359"/>
        <v>-18.3869631775039</v>
      </c>
      <c r="BE392" s="31">
        <f t="shared" si="360"/>
        <v>103.828660446774</v>
      </c>
      <c r="BF392" s="30" t="str">
        <f t="shared" si="361"/>
        <v>0,419311592834161-0,35936568153006i</v>
      </c>
      <c r="BG392" s="68">
        <f t="shared" si="362"/>
        <v>-5.1574871187029</v>
      </c>
      <c r="BH392" s="31">
        <f t="shared" si="363"/>
        <v>-40.5978084656574</v>
      </c>
      <c r="BI392" s="30" t="str">
        <f t="shared" si="369"/>
        <v>0,767374848285917+0,547273979886153i</v>
      </c>
      <c r="BJ392" s="68">
        <f t="shared" si="364"/>
        <v>-0.514046654881076</v>
      </c>
      <c r="BK392" s="31">
        <f t="shared" si="370"/>
        <v>35.4955865535996</v>
      </c>
      <c r="BL392" s="32">
        <f t="shared" si="365"/>
        <v>-5.1574871187029</v>
      </c>
      <c r="BM392" s="31">
        <f t="shared" si="366"/>
        <v>-40.5978084656574</v>
      </c>
      <c r="BO392">
        <f t="shared" si="367"/>
        <v>0</v>
      </c>
      <c r="BP392">
        <f t="shared" si="368"/>
        <v>0</v>
      </c>
    </row>
    <row r="393" spans="14:68">
      <c r="N393" s="7">
        <v>75</v>
      </c>
      <c r="O393" s="18">
        <f t="shared" si="371"/>
        <v>56234.132519035</v>
      </c>
      <c r="P393" s="86" t="str">
        <f t="shared" si="319"/>
        <v>54,5454545454545</v>
      </c>
      <c r="Q393" s="4" t="str">
        <f t="shared" si="320"/>
        <v>1+719,50729496411i</v>
      </c>
      <c r="R393" s="4">
        <f t="shared" si="331"/>
        <v>719.507989883761</v>
      </c>
      <c r="S393" s="4">
        <f t="shared" si="332"/>
        <v>1.56940648771597</v>
      </c>
      <c r="T393" s="4" t="str">
        <f t="shared" si="321"/>
        <v>1+5,54020617122366i</v>
      </c>
      <c r="U393" s="4">
        <f t="shared" si="333"/>
        <v>5.629732180101</v>
      </c>
      <c r="V393" s="4">
        <f t="shared" si="334"/>
        <v>1.39222038342679</v>
      </c>
      <c r="W393" t="str">
        <f t="shared" si="322"/>
        <v>1-15,8998263842516i</v>
      </c>
      <c r="X393" s="4">
        <f t="shared" si="335"/>
        <v>15.9312422318331</v>
      </c>
      <c r="Y393" s="4">
        <f t="shared" si="336"/>
        <v>-1.50798529009511</v>
      </c>
      <c r="Z393" t="str">
        <f t="shared" si="323"/>
        <v>0,974185488488421+1,09784515510308i</v>
      </c>
      <c r="AA393" s="4">
        <f t="shared" si="337"/>
        <v>1.46775384535852</v>
      </c>
      <c r="AB393" s="4">
        <f t="shared" si="338"/>
        <v>0.845007882438322</v>
      </c>
      <c r="AC393" s="67" t="str">
        <f t="shared" si="339"/>
        <v>-3,79319202333567-2,65912144319234i</v>
      </c>
      <c r="AD393" s="68">
        <f t="shared" si="340"/>
        <v>13.3161418668089</v>
      </c>
      <c r="AE393" s="31">
        <f t="shared" si="341"/>
        <v>-144.968593973398</v>
      </c>
      <c r="AF393" s="32" t="str">
        <f t="shared" si="342"/>
        <v>432,040091031901</v>
      </c>
      <c r="AG393" s="32" t="str">
        <f t="shared" si="324"/>
        <v>1+586,26520330409i</v>
      </c>
      <c r="AH393" s="32">
        <f t="shared" si="343"/>
        <v>586.266056159817</v>
      </c>
      <c r="AI393" s="32">
        <f t="shared" si="344"/>
        <v>1.56909061575398</v>
      </c>
      <c r="AJ393" s="32" t="str">
        <f t="shared" si="325"/>
        <v>1+5,54020617122366i</v>
      </c>
      <c r="AK393" s="32">
        <f t="shared" si="345"/>
        <v>5.629732180101</v>
      </c>
      <c r="AL393" s="32">
        <f t="shared" si="346"/>
        <v>1.39222038342679</v>
      </c>
      <c r="AM393" s="32" t="str">
        <f t="shared" si="326"/>
        <v>1-1,63559764993711i</v>
      </c>
      <c r="AN393" s="32">
        <f t="shared" si="347"/>
        <v>1.9170758129192</v>
      </c>
      <c r="AO393" s="32">
        <f t="shared" si="348"/>
        <v>-1.02203857388188</v>
      </c>
      <c r="AP393" s="30" t="str">
        <f t="shared" si="349"/>
        <v>2,89008660509133-7,40979011971436i</v>
      </c>
      <c r="AQ393" s="32">
        <f t="shared" si="350"/>
        <v>18.011126434537</v>
      </c>
      <c r="AR393" s="31">
        <f t="shared" si="351"/>
        <v>-68.6924146168476</v>
      </c>
      <c r="AS393" t="str">
        <f t="shared" si="327"/>
        <v>-0,000201496259351621</v>
      </c>
      <c r="AT393" t="str">
        <f t="shared" si="328"/>
        <v>0,0793931330786962i</v>
      </c>
      <c r="AU393">
        <f t="shared" si="352"/>
        <v>0.0793931330786962</v>
      </c>
      <c r="AV393">
        <f t="shared" si="353"/>
        <v>1.5707963267949</v>
      </c>
      <c r="AW393" t="str">
        <f t="shared" si="329"/>
        <v>1+4,06478279219604i</v>
      </c>
      <c r="AX393">
        <f t="shared" si="354"/>
        <v>4.18598365354346</v>
      </c>
      <c r="AY393">
        <f t="shared" si="355"/>
        <v>1.32957118331642</v>
      </c>
      <c r="AZ393" t="str">
        <f t="shared" si="330"/>
        <v>1+194,331211363074i</v>
      </c>
      <c r="BA393">
        <f t="shared" si="356"/>
        <v>194.333784272935</v>
      </c>
      <c r="BB393">
        <f t="shared" si="357"/>
        <v>1.5656505184272</v>
      </c>
      <c r="BC393" s="30" t="str">
        <f t="shared" si="358"/>
        <v>-0,0275582196617059+0,114556132823832i</v>
      </c>
      <c r="BD393" s="32">
        <f t="shared" si="359"/>
        <v>-18.5753034578989</v>
      </c>
      <c r="BE393" s="31">
        <f t="shared" si="360"/>
        <v>103.526349532102</v>
      </c>
      <c r="BF393" s="30" t="str">
        <f t="shared" si="361"/>
        <v>0,409152288239157-0,361252756412894i</v>
      </c>
      <c r="BG393" s="68">
        <f t="shared" si="362"/>
        <v>-5.25916159109006</v>
      </c>
      <c r="BH393" s="31">
        <f t="shared" si="363"/>
        <v>-41.4422444412955</v>
      </c>
      <c r="BI393" s="30" t="str">
        <f t="shared" si="369"/>
        <v>0,769191259646255+0,535277768771447i</v>
      </c>
      <c r="BJ393" s="68">
        <f t="shared" si="364"/>
        <v>-0.56417702336188</v>
      </c>
      <c r="BK393" s="31">
        <f t="shared" si="370"/>
        <v>34.8339349152549</v>
      </c>
      <c r="BL393" s="32">
        <f t="shared" si="365"/>
        <v>-5.25916159109006</v>
      </c>
      <c r="BM393" s="31">
        <f t="shared" si="366"/>
        <v>-41.4422444412955</v>
      </c>
      <c r="BO393">
        <f t="shared" si="367"/>
        <v>0</v>
      </c>
      <c r="BP393">
        <f t="shared" si="368"/>
        <v>0</v>
      </c>
    </row>
    <row r="394" spans="14:68">
      <c r="N394" s="7">
        <v>76</v>
      </c>
      <c r="O394" s="18">
        <f t="shared" si="371"/>
        <v>57543.9937337157</v>
      </c>
      <c r="P394" s="86" t="str">
        <f t="shared" si="319"/>
        <v>54,5454545454545</v>
      </c>
      <c r="Q394" s="4" t="str">
        <f t="shared" si="320"/>
        <v>1+736,266772831656i</v>
      </c>
      <c r="R394" s="4">
        <f t="shared" si="331"/>
        <v>736.26745193302</v>
      </c>
      <c r="S394" s="4">
        <f t="shared" si="332"/>
        <v>1.56943812427647</v>
      </c>
      <c r="T394" s="4" t="str">
        <f t="shared" si="321"/>
        <v>1+5,66925415080376i</v>
      </c>
      <c r="U394" s="4">
        <f t="shared" si="333"/>
        <v>5.75677362994287</v>
      </c>
      <c r="V394" s="4">
        <f t="shared" si="334"/>
        <v>1.39620223869115</v>
      </c>
      <c r="W394" t="str">
        <f t="shared" si="322"/>
        <v>1-16,2701809174853i</v>
      </c>
      <c r="X394" s="4">
        <f t="shared" si="335"/>
        <v>16.3008830155824</v>
      </c>
      <c r="Y394" s="4">
        <f t="shared" si="336"/>
        <v>-1.50941141327995</v>
      </c>
      <c r="Z394" t="str">
        <f t="shared" si="323"/>
        <v>0,972968888042237+1,12341725382636i</v>
      </c>
      <c r="AA394" s="4">
        <f t="shared" si="337"/>
        <v>1.48618127538094</v>
      </c>
      <c r="AB394" s="4">
        <f t="shared" si="338"/>
        <v>0.857040917252999</v>
      </c>
      <c r="AC394" s="67" t="str">
        <f t="shared" si="339"/>
        <v>-3,85571610452482-2,64863118327383i</v>
      </c>
      <c r="AD394" s="68">
        <f t="shared" si="340"/>
        <v>13.400829216743</v>
      </c>
      <c r="AE394" s="31">
        <f t="shared" si="341"/>
        <v>-145.513416062685</v>
      </c>
      <c r="AF394" s="32" t="str">
        <f t="shared" si="342"/>
        <v>432,040091031901</v>
      </c>
      <c r="AG394" s="32" t="str">
        <f t="shared" si="324"/>
        <v>1+599,921074159127i</v>
      </c>
      <c r="AH394" s="32">
        <f t="shared" si="343"/>
        <v>599.921907601515</v>
      </c>
      <c r="AI394" s="32">
        <f t="shared" si="344"/>
        <v>1.56912944240476</v>
      </c>
      <c r="AJ394" s="32" t="str">
        <f t="shared" si="325"/>
        <v>1+5,66925415080376i</v>
      </c>
      <c r="AK394" s="32">
        <f t="shared" si="345"/>
        <v>5.75677362994287</v>
      </c>
      <c r="AL394" s="32">
        <f t="shared" si="346"/>
        <v>1.39620223869115</v>
      </c>
      <c r="AM394" s="32" t="str">
        <f t="shared" si="326"/>
        <v>1-1,67369561337152i</v>
      </c>
      <c r="AN394" s="32">
        <f t="shared" si="347"/>
        <v>1.94968125759547</v>
      </c>
      <c r="AO394" s="32">
        <f t="shared" si="348"/>
        <v>-1.03223167603079</v>
      </c>
      <c r="AP394" s="30" t="str">
        <f t="shared" si="349"/>
        <v>2,89003040930682-7,54867326837729i</v>
      </c>
      <c r="AQ394" s="32">
        <f t="shared" si="350"/>
        <v>18.1514419294969</v>
      </c>
      <c r="AR394" s="31">
        <f t="shared" si="351"/>
        <v>-69.0505174520681</v>
      </c>
      <c r="AS394" t="str">
        <f t="shared" si="327"/>
        <v>-0,000201496259351621</v>
      </c>
      <c r="AT394" t="str">
        <f t="shared" si="328"/>
        <v>0,081242436714643i</v>
      </c>
      <c r="AU394">
        <f t="shared" si="352"/>
        <v>0.081242436714643</v>
      </c>
      <c r="AV394">
        <f t="shared" si="353"/>
        <v>1.5707963267949</v>
      </c>
      <c r="AW394" t="str">
        <f t="shared" si="329"/>
        <v>1+4,15946374639761i</v>
      </c>
      <c r="AX394">
        <f t="shared" si="354"/>
        <v>4.27798301277554</v>
      </c>
      <c r="AY394">
        <f t="shared" si="355"/>
        <v>1.33485841164492</v>
      </c>
      <c r="AZ394" t="str">
        <f t="shared" si="330"/>
        <v>1+198,857766769264i</v>
      </c>
      <c r="BA394">
        <f t="shared" si="356"/>
        <v>198.860281113296</v>
      </c>
      <c r="BB394">
        <f t="shared" si="357"/>
        <v>1.56576764932842</v>
      </c>
      <c r="BC394" s="30" t="str">
        <f t="shared" si="358"/>
        <v>-0,0263856685226561+0,11223041647765i</v>
      </c>
      <c r="BD394" s="32">
        <f t="shared" si="359"/>
        <v>-18.7641391867308</v>
      </c>
      <c r="BE394" s="31">
        <f t="shared" si="360"/>
        <v>103.230124769848</v>
      </c>
      <c r="BF394" s="30" t="str">
        <f t="shared" si="361"/>
        <v>0,398992627845972-0,362842719789769i</v>
      </c>
      <c r="BG394" s="68">
        <f t="shared" si="362"/>
        <v>-5.36330996998784</v>
      </c>
      <c r="BH394" s="31">
        <f t="shared" si="363"/>
        <v>-42.2832912928375</v>
      </c>
      <c r="BI394" s="30" t="str">
        <f t="shared" si="369"/>
        <v>0,770935360363321+0,523526107114816i</v>
      </c>
      <c r="BJ394" s="68">
        <f t="shared" si="364"/>
        <v>-0.612697257233947</v>
      </c>
      <c r="BK394" s="31">
        <f t="shared" si="370"/>
        <v>34.1796073177796</v>
      </c>
      <c r="BL394" s="32">
        <f t="shared" si="365"/>
        <v>-5.36330996998784</v>
      </c>
      <c r="BM394" s="31">
        <f t="shared" si="366"/>
        <v>-42.2832912928375</v>
      </c>
      <c r="BO394">
        <f t="shared" si="367"/>
        <v>0</v>
      </c>
      <c r="BP394">
        <f t="shared" si="368"/>
        <v>0</v>
      </c>
    </row>
    <row r="395" spans="14:68">
      <c r="N395" s="7">
        <v>77</v>
      </c>
      <c r="O395" s="18">
        <f t="shared" si="371"/>
        <v>58884.3655355589</v>
      </c>
      <c r="P395" s="86" t="str">
        <f t="shared" si="319"/>
        <v>54,5454545454545</v>
      </c>
      <c r="Q395" s="4" t="str">
        <f t="shared" si="320"/>
        <v>1+753,416629087799i</v>
      </c>
      <c r="R395" s="4">
        <f t="shared" si="331"/>
        <v>753.417292730942</v>
      </c>
      <c r="S395" s="4">
        <f t="shared" si="332"/>
        <v>1.56946904070356</v>
      </c>
      <c r="T395" s="4" t="str">
        <f t="shared" si="321"/>
        <v>1+5,80130804397606i</v>
      </c>
      <c r="U395" s="4">
        <f t="shared" si="333"/>
        <v>5.88686461718811</v>
      </c>
      <c r="V395" s="4">
        <f t="shared" si="334"/>
        <v>1.40009886813595</v>
      </c>
      <c r="W395" t="str">
        <f t="shared" si="322"/>
        <v>1-16,6491621160027i</v>
      </c>
      <c r="X395" s="4">
        <f t="shared" si="335"/>
        <v>16.6791666208159</v>
      </c>
      <c r="Y395" s="4">
        <f t="shared" si="336"/>
        <v>-1.51080531555732</v>
      </c>
      <c r="Z395" t="str">
        <f t="shared" si="323"/>
        <v>0,971694950983467+1,14958500324781i</v>
      </c>
      <c r="AA395" s="4">
        <f t="shared" si="337"/>
        <v>1.50523644569849</v>
      </c>
      <c r="AB395" s="4">
        <f t="shared" si="338"/>
        <v>0.869062180027576</v>
      </c>
      <c r="AC395" s="67" t="str">
        <f t="shared" si="339"/>
        <v>-3,91796122115886-2,63667731796081i</v>
      </c>
      <c r="AD395" s="68">
        <f t="shared" si="340"/>
        <v>13.4835330286877</v>
      </c>
      <c r="AE395" s="31">
        <f t="shared" si="341"/>
        <v>-146.06055936091</v>
      </c>
      <c r="AF395" s="32" t="str">
        <f t="shared" si="342"/>
        <v>432,040091031901</v>
      </c>
      <c r="AG395" s="32" t="str">
        <f t="shared" si="324"/>
        <v>1+613,895031108577i</v>
      </c>
      <c r="AH395" s="32">
        <f t="shared" si="343"/>
        <v>613.895845579526</v>
      </c>
      <c r="AI395" s="32">
        <f t="shared" si="344"/>
        <v>1.56916738525792</v>
      </c>
      <c r="AJ395" s="32" t="str">
        <f t="shared" si="325"/>
        <v>1+5,80130804397606i</v>
      </c>
      <c r="AK395" s="32">
        <f t="shared" si="345"/>
        <v>5.88686461718811</v>
      </c>
      <c r="AL395" s="32">
        <f t="shared" si="346"/>
        <v>1.40009886813595</v>
      </c>
      <c r="AM395" s="32" t="str">
        <f t="shared" si="326"/>
        <v>1-1,71268099237411i</v>
      </c>
      <c r="AN395" s="32">
        <f t="shared" si="347"/>
        <v>1.98324889553469</v>
      </c>
      <c r="AO395" s="32">
        <f t="shared" si="348"/>
        <v>-1.04231417719724</v>
      </c>
      <c r="AP395" s="30" t="str">
        <f t="shared" si="349"/>
        <v>2,88997674273553-7,69155881509151i</v>
      </c>
      <c r="AQ395" s="32">
        <f t="shared" si="350"/>
        <v>18.2938124778461</v>
      </c>
      <c r="AR395" s="31">
        <f t="shared" si="351"/>
        <v>-69.4071157596772</v>
      </c>
      <c r="AS395" t="str">
        <f t="shared" si="327"/>
        <v>-0,000201496259351621</v>
      </c>
      <c r="AT395" t="str">
        <f t="shared" si="328"/>
        <v>0,0831348161659069i</v>
      </c>
      <c r="AU395">
        <f t="shared" si="352"/>
        <v>0.0831348161659069</v>
      </c>
      <c r="AV395">
        <f t="shared" si="353"/>
        <v>1.5707963267949</v>
      </c>
      <c r="AW395" t="str">
        <f t="shared" si="329"/>
        <v>1+4,25635010333452i</v>
      </c>
      <c r="AX395">
        <f t="shared" si="354"/>
        <v>4.37224384065617</v>
      </c>
      <c r="AY395">
        <f t="shared" si="355"/>
        <v>1.34003830880994</v>
      </c>
      <c r="AZ395" t="str">
        <f t="shared" si="330"/>
        <v>1+203,489759195589i</v>
      </c>
      <c r="BA395">
        <f t="shared" si="356"/>
        <v>203.492216306862</v>
      </c>
      <c r="BB395">
        <f t="shared" si="357"/>
        <v>1.56588211413814</v>
      </c>
      <c r="BC395" s="30" t="str">
        <f t="shared" si="358"/>
        <v>-0,0252602395279557+0,109940152058919i</v>
      </c>
      <c r="BD395" s="32">
        <f t="shared" si="359"/>
        <v>-18.9534505074551</v>
      </c>
      <c r="BE395" s="31">
        <f t="shared" si="360"/>
        <v>102.93989687448</v>
      </c>
      <c r="BF395" s="30" t="str">
        <f t="shared" si="361"/>
        <v>0,388845344174629-0,364138151805535i</v>
      </c>
      <c r="BG395" s="68">
        <f t="shared" si="362"/>
        <v>-5.46991747876735</v>
      </c>
      <c r="BH395" s="31">
        <f t="shared" si="363"/>
        <v>-43.1206624864297</v>
      </c>
      <c r="BI395" s="30" t="str">
        <f t="shared" si="369"/>
        <v>0,772609640949559+0,512015100555654i</v>
      </c>
      <c r="BJ395" s="68">
        <f t="shared" si="364"/>
        <v>-0.659638029608931</v>
      </c>
      <c r="BK395" s="31">
        <f t="shared" si="370"/>
        <v>33.5327811148029</v>
      </c>
      <c r="BL395" s="32">
        <f t="shared" si="365"/>
        <v>-5.46991747876735</v>
      </c>
      <c r="BM395" s="31">
        <f t="shared" si="366"/>
        <v>-43.1206624864297</v>
      </c>
      <c r="BO395">
        <f t="shared" si="367"/>
        <v>0</v>
      </c>
      <c r="BP395">
        <f t="shared" si="368"/>
        <v>0</v>
      </c>
    </row>
    <row r="396" spans="14:68">
      <c r="N396" s="7">
        <v>78</v>
      </c>
      <c r="O396" s="18">
        <f t="shared" si="371"/>
        <v>60255.9586074359</v>
      </c>
      <c r="P396" s="86" t="str">
        <f t="shared" si="319"/>
        <v>54,5454545454545</v>
      </c>
      <c r="Q396" s="4" t="str">
        <f t="shared" si="320"/>
        <v>1+770,965956813335i</v>
      </c>
      <c r="R396" s="4">
        <f t="shared" si="331"/>
        <v>770.966605350129</v>
      </c>
      <c r="S396" s="4">
        <f t="shared" si="332"/>
        <v>1.5694992533893</v>
      </c>
      <c r="T396" s="4" t="str">
        <f t="shared" si="321"/>
        <v>1+5,93643786746269i</v>
      </c>
      <c r="U396" s="4">
        <f t="shared" si="333"/>
        <v>6.02007429806684</v>
      </c>
      <c r="V396" s="4">
        <f t="shared" si="334"/>
        <v>1.40391186424705</v>
      </c>
      <c r="W396" t="str">
        <f t="shared" si="322"/>
        <v>1-17,0369709206519i</v>
      </c>
      <c r="X396" s="4">
        <f t="shared" si="335"/>
        <v>17.066293626653</v>
      </c>
      <c r="Y396" s="4">
        <f t="shared" si="336"/>
        <v>-1.51216771431401</v>
      </c>
      <c r="Z396" t="str">
        <f t="shared" si="323"/>
        <v>0,970360975120808+1,17636227785453i</v>
      </c>
      <c r="AA396" s="4">
        <f t="shared" si="337"/>
        <v>1.52493561529545</v>
      </c>
      <c r="AB396" s="4">
        <f t="shared" si="338"/>
        <v>0.881066039462087</v>
      </c>
      <c r="AC396" s="67" t="str">
        <f t="shared" si="339"/>
        <v>-3,97986304446325-2,62327432863806i</v>
      </c>
      <c r="AD396" s="68">
        <f t="shared" si="340"/>
        <v>13.5642511081964</v>
      </c>
      <c r="AE396" s="31">
        <f t="shared" si="341"/>
        <v>-146.609652018063</v>
      </c>
      <c r="AF396" s="32" t="str">
        <f t="shared" si="342"/>
        <v>432,040091031901</v>
      </c>
      <c r="AG396" s="32" t="str">
        <f t="shared" si="324"/>
        <v>1+628,194483329384i</v>
      </c>
      <c r="AH396" s="32">
        <f t="shared" si="343"/>
        <v>628.195279260734</v>
      </c>
      <c r="AI396" s="32">
        <f t="shared" si="344"/>
        <v>1.56920446443083</v>
      </c>
      <c r="AJ396" s="32" t="str">
        <f t="shared" si="325"/>
        <v>1+5,93643786746269i</v>
      </c>
      <c r="AK396" s="32">
        <f t="shared" si="345"/>
        <v>6.02007429806684</v>
      </c>
      <c r="AL396" s="32">
        <f t="shared" si="346"/>
        <v>1.40391186424705</v>
      </c>
      <c r="AM396" s="32" t="str">
        <f t="shared" si="326"/>
        <v>1-1,75257445750888i</v>
      </c>
      <c r="AN396" s="32">
        <f t="shared" si="347"/>
        <v>2.01780009642</v>
      </c>
      <c r="AO396" s="32">
        <f t="shared" si="348"/>
        <v>-1.05228322307448</v>
      </c>
      <c r="AP396" s="30" t="str">
        <f t="shared" si="349"/>
        <v>2,88992549154529-7,83852252022822i</v>
      </c>
      <c r="AQ396" s="32">
        <f t="shared" si="350"/>
        <v>18.4381874028091</v>
      </c>
      <c r="AR396" s="31">
        <f t="shared" si="351"/>
        <v>-69.7619559098646</v>
      </c>
      <c r="AS396" t="str">
        <f t="shared" si="327"/>
        <v>-0,000201496259351621</v>
      </c>
      <c r="AT396" t="str">
        <f t="shared" si="328"/>
        <v>0,0850712747971214i</v>
      </c>
      <c r="AU396">
        <f t="shared" si="352"/>
        <v>0.0850712747971214</v>
      </c>
      <c r="AV396">
        <f t="shared" si="353"/>
        <v>1.5707963267949</v>
      </c>
      <c r="AW396" t="str">
        <f t="shared" si="329"/>
        <v>1+4,35549323343569i</v>
      </c>
      <c r="AX396">
        <f t="shared" si="354"/>
        <v>4.46881654428822</v>
      </c>
      <c r="AY396">
        <f t="shared" si="355"/>
        <v>1.34511250890362</v>
      </c>
      <c r="AZ396" t="str">
        <f t="shared" si="330"/>
        <v>1+208,229644585744i</v>
      </c>
      <c r="BA396">
        <f t="shared" si="356"/>
        <v>208.232045766989</v>
      </c>
      <c r="BB396">
        <f t="shared" si="357"/>
        <v>1.56599397353513</v>
      </c>
      <c r="BC396" s="30" t="str">
        <f t="shared" si="358"/>
        <v>-0,0241802708526891+0,107685564209196i</v>
      </c>
      <c r="BD396" s="32">
        <f t="shared" si="359"/>
        <v>-19.1432182592184</v>
      </c>
      <c r="BE396" s="31">
        <f t="shared" si="360"/>
        <v>102.655575696054</v>
      </c>
      <c r="BF396" s="30" t="str">
        <f t="shared" si="361"/>
        <v>0,378722942526619-0,365142313630979i</v>
      </c>
      <c r="BG396" s="68">
        <f t="shared" si="362"/>
        <v>-5.57896715102201</v>
      </c>
      <c r="BH396" s="31">
        <f t="shared" si="363"/>
        <v>-43.9540763220086</v>
      </c>
      <c r="BI396" s="30" t="str">
        <f t="shared" si="369"/>
        <v>0,774216539027609+0,500740854703614i</v>
      </c>
      <c r="BJ396" s="68">
        <f t="shared" si="364"/>
        <v>-0.705030856409331</v>
      </c>
      <c r="BK396" s="31">
        <f t="shared" si="370"/>
        <v>32.8936197861893</v>
      </c>
      <c r="BL396" s="32">
        <f t="shared" si="365"/>
        <v>-5.57896715102201</v>
      </c>
      <c r="BM396" s="31">
        <f t="shared" si="366"/>
        <v>-43.9540763220086</v>
      </c>
      <c r="BO396">
        <f t="shared" si="367"/>
        <v>0</v>
      </c>
      <c r="BP396">
        <f t="shared" si="368"/>
        <v>0</v>
      </c>
    </row>
    <row r="397" spans="14:68">
      <c r="N397" s="7">
        <v>79</v>
      </c>
      <c r="O397" s="18">
        <f t="shared" si="371"/>
        <v>61659.5001861482</v>
      </c>
      <c r="P397" s="86" t="str">
        <f t="shared" si="319"/>
        <v>54,5454545454545</v>
      </c>
      <c r="Q397" s="4" t="str">
        <f t="shared" si="320"/>
        <v>1+788,924060894109i</v>
      </c>
      <c r="R397" s="4">
        <f t="shared" si="331"/>
        <v>788.924694668415</v>
      </c>
      <c r="S397" s="4">
        <f t="shared" si="332"/>
        <v>1.56952877835265</v>
      </c>
      <c r="T397" s="4" t="str">
        <f t="shared" si="321"/>
        <v>1+6,07471526888465i</v>
      </c>
      <c r="U397" s="4">
        <f t="shared" si="333"/>
        <v>6.15647347091014</v>
      </c>
      <c r="V397" s="4">
        <f t="shared" si="334"/>
        <v>1.4076428050076</v>
      </c>
      <c r="W397" t="str">
        <f t="shared" si="322"/>
        <v>1-17,433812952794i</v>
      </c>
      <c r="X397" s="4">
        <f t="shared" si="335"/>
        <v>17.4624693005602</v>
      </c>
      <c r="Y397" s="4">
        <f t="shared" si="336"/>
        <v>-1.51349931167011</v>
      </c>
      <c r="Z397" t="str">
        <f t="shared" si="323"/>
        <v>0,968964130912607+1,20376327531196i</v>
      </c>
      <c r="AA397" s="4">
        <f t="shared" si="337"/>
        <v>1.54529528245737</v>
      </c>
      <c r="AB397" s="4">
        <f t="shared" si="338"/>
        <v>0.893046951264866</v>
      </c>
      <c r="AC397" s="67" t="str">
        <f t="shared" si="339"/>
        <v>-4,04135861590295-2,60844020946748i</v>
      </c>
      <c r="AD397" s="68">
        <f t="shared" si="340"/>
        <v>13.6429840807117</v>
      </c>
      <c r="AE397" s="31">
        <f t="shared" si="341"/>
        <v>-147.160327104193</v>
      </c>
      <c r="AF397" s="32" t="str">
        <f t="shared" si="342"/>
        <v>432,040091031901</v>
      </c>
      <c r="AG397" s="32" t="str">
        <f t="shared" si="324"/>
        <v>1+642,827012580385i</v>
      </c>
      <c r="AH397" s="32">
        <f t="shared" si="343"/>
        <v>642.827790394148</v>
      </c>
      <c r="AI397" s="32">
        <f t="shared" si="344"/>
        <v>1.56924069958296</v>
      </c>
      <c r="AJ397" s="32" t="str">
        <f t="shared" si="325"/>
        <v>1+6,07471526888465i</v>
      </c>
      <c r="AK397" s="32">
        <f t="shared" si="345"/>
        <v>6.15647347091014</v>
      </c>
      <c r="AL397" s="32">
        <f t="shared" si="346"/>
        <v>1.4076428050076</v>
      </c>
      <c r="AM397" s="32" t="str">
        <f t="shared" si="326"/>
        <v>1-1,79339716081907i</v>
      </c>
      <c r="AN397" s="32">
        <f t="shared" si="347"/>
        <v>2.05335661209491</v>
      </c>
      <c r="AO397" s="32">
        <f t="shared" si="348"/>
        <v>-1.06213617282917</v>
      </c>
      <c r="AP397" s="30" t="str">
        <f t="shared" si="349"/>
        <v>2,88987654702717-7,98964230641441i</v>
      </c>
      <c r="AQ397" s="32">
        <f t="shared" si="350"/>
        <v>18.5845159727997</v>
      </c>
      <c r="AR397" s="31">
        <f t="shared" si="351"/>
        <v>-70.1147973086572</v>
      </c>
      <c r="AS397" t="str">
        <f t="shared" si="327"/>
        <v>-0,000201496259351621</v>
      </c>
      <c r="AT397" t="str">
        <f t="shared" si="328"/>
        <v>0,0870528393442845i</v>
      </c>
      <c r="AU397">
        <f t="shared" si="352"/>
        <v>0.0870528393442845</v>
      </c>
      <c r="AV397">
        <f t="shared" si="353"/>
        <v>1.5707963267949</v>
      </c>
      <c r="AW397" t="str">
        <f t="shared" si="329"/>
        <v>1+4,45694570370097i</v>
      </c>
      <c r="AX397">
        <f t="shared" si="354"/>
        <v>4.56775273036299</v>
      </c>
      <c r="AY397">
        <f t="shared" si="355"/>
        <v>1.35008265668419</v>
      </c>
      <c r="AZ397" t="str">
        <f t="shared" si="330"/>
        <v>1+213,079936089703i</v>
      </c>
      <c r="BA397">
        <f t="shared" si="356"/>
        <v>213.082282613998</v>
      </c>
      <c r="BB397">
        <f t="shared" si="357"/>
        <v>1.56610328681751</v>
      </c>
      <c r="BC397" s="30" t="str">
        <f t="shared" si="358"/>
        <v>-0,0231441396885877+0,105466817113259i</v>
      </c>
      <c r="BD397" s="32">
        <f t="shared" si="359"/>
        <v>-19.3334239609348</v>
      </c>
      <c r="BE397" s="31">
        <f t="shared" si="360"/>
        <v>102.377070394396</v>
      </c>
      <c r="BF397" s="30" t="str">
        <f t="shared" si="361"/>
        <v>0,368637654860913-0,365859125455286i</v>
      </c>
      <c r="BG397" s="68">
        <f t="shared" si="362"/>
        <v>-5.69043988022306</v>
      </c>
      <c r="BH397" s="31">
        <f t="shared" si="363"/>
        <v>-44.7832567097974</v>
      </c>
      <c r="BI397" s="30" t="str">
        <f t="shared" si="369"/>
        <v>0,775758437443795+0,489699478866716i</v>
      </c>
      <c r="BJ397" s="68">
        <f t="shared" si="364"/>
        <v>-0.748907988135092</v>
      </c>
      <c r="BK397" s="31">
        <f t="shared" si="370"/>
        <v>32.2622730857387</v>
      </c>
      <c r="BL397" s="32">
        <f t="shared" si="365"/>
        <v>-5.69043988022306</v>
      </c>
      <c r="BM397" s="31">
        <f t="shared" si="366"/>
        <v>-44.7832567097974</v>
      </c>
      <c r="BO397">
        <f t="shared" si="367"/>
        <v>0</v>
      </c>
      <c r="BP397">
        <f t="shared" si="368"/>
        <v>0</v>
      </c>
    </row>
    <row r="398" spans="14:68">
      <c r="N398" s="7">
        <v>80</v>
      </c>
      <c r="O398" s="18">
        <f t="shared" si="371"/>
        <v>63095.7344480193</v>
      </c>
      <c r="P398" s="86" t="str">
        <f t="shared" si="319"/>
        <v>54,5454545454545</v>
      </c>
      <c r="Q398" s="4" t="str">
        <f t="shared" si="320"/>
        <v>1+807,300462954618i</v>
      </c>
      <c r="R398" s="4">
        <f t="shared" si="331"/>
        <v>807.301082302471</v>
      </c>
      <c r="S398" s="4">
        <f t="shared" si="332"/>
        <v>1.56955763124791</v>
      </c>
      <c r="T398" s="4" t="str">
        <f t="shared" si="321"/>
        <v>1+6,21621356475056i</v>
      </c>
      <c r="U398" s="4">
        <f t="shared" si="333"/>
        <v>6.29613461439548</v>
      </c>
      <c r="V398" s="4">
        <f t="shared" si="334"/>
        <v>1.41129325292687</v>
      </c>
      <c r="W398" t="str">
        <f t="shared" si="322"/>
        <v>1-17,8398986233275i</v>
      </c>
      <c r="X398" s="4">
        <f t="shared" si="335"/>
        <v>17.8679037072232</v>
      </c>
      <c r="Y398" s="4">
        <f t="shared" si="336"/>
        <v>-1.51480079475651</v>
      </c>
      <c r="Z398" t="str">
        <f t="shared" si="323"/>
        <v>0,967501455465021+1,23180252399166i</v>
      </c>
      <c r="AA398" s="4">
        <f t="shared" si="337"/>
        <v>1.56633218840678</v>
      </c>
      <c r="AB398" s="4">
        <f t="shared" si="338"/>
        <v>0.904999472885888</v>
      </c>
      <c r="AC398" s="67" t="str">
        <f t="shared" si="339"/>
        <v>-4,10238659142357-2,59219633545364i</v>
      </c>
      <c r="AD398" s="68">
        <f t="shared" si="340"/>
        <v>13.7197353172217</v>
      </c>
      <c r="AE398" s="31">
        <f t="shared" si="341"/>
        <v>-147.712223525593</v>
      </c>
      <c r="AF398" s="32" t="str">
        <f t="shared" si="342"/>
        <v>432,040091031901</v>
      </c>
      <c r="AG398" s="32" t="str">
        <f t="shared" si="324"/>
        <v>1+657,800377222281i</v>
      </c>
      <c r="AH398" s="32">
        <f t="shared" si="343"/>
        <v>657.801137330862</v>
      </c>
      <c r="AI398" s="32">
        <f t="shared" si="344"/>
        <v>1.56927610992626</v>
      </c>
      <c r="AJ398" s="32" t="str">
        <f t="shared" si="325"/>
        <v>1+6,21621356475056i</v>
      </c>
      <c r="AK398" s="32">
        <f t="shared" si="345"/>
        <v>6.29613461439548</v>
      </c>
      <c r="AL398" s="32">
        <f t="shared" si="346"/>
        <v>1.41129325292687</v>
      </c>
      <c r="AM398" s="32" t="str">
        <f t="shared" si="326"/>
        <v>1-1,83517074704236i</v>
      </c>
      <c r="AN398" s="32">
        <f t="shared" si="347"/>
        <v>2.0899405902561</v>
      </c>
      <c r="AO398" s="32">
        <f t="shared" si="348"/>
        <v>-1.07187059770164</v>
      </c>
      <c r="AP398" s="30" t="str">
        <f t="shared" si="349"/>
        <v>2,88982980536481-8,14499829985144i</v>
      </c>
      <c r="AQ398" s="32">
        <f t="shared" si="350"/>
        <v>18.7327474910998</v>
      </c>
      <c r="AR398" s="31">
        <f t="shared" si="351"/>
        <v>-70.4654123739525</v>
      </c>
      <c r="AS398" t="str">
        <f t="shared" si="327"/>
        <v>-0,000201496259351621</v>
      </c>
      <c r="AT398" t="str">
        <f t="shared" si="328"/>
        <v>0,0890805604591486i</v>
      </c>
      <c r="AU398">
        <f t="shared" si="352"/>
        <v>0.0890805604591486</v>
      </c>
      <c r="AV398">
        <f t="shared" si="353"/>
        <v>1.5707963267949</v>
      </c>
      <c r="AW398" t="str">
        <f t="shared" si="329"/>
        <v>1+4,56076130557302i</v>
      </c>
      <c r="AX398">
        <f t="shared" si="354"/>
        <v>4.66910523402634</v>
      </c>
      <c r="AY398">
        <f t="shared" si="355"/>
        <v>1.35495040475154</v>
      </c>
      <c r="AZ398" t="str">
        <f t="shared" si="330"/>
        <v>1+218,043205396225i</v>
      </c>
      <c r="BA398">
        <f t="shared" si="356"/>
        <v>218.045498507675</v>
      </c>
      <c r="BB398">
        <f t="shared" si="357"/>
        <v>1.56621011193417</v>
      </c>
      <c r="BC398" s="30" t="str">
        <f t="shared" si="358"/>
        <v>-0,0221502630921758+0,103284018270539i</v>
      </c>
      <c r="BD398" s="32">
        <f t="shared" si="359"/>
        <v>-19.5240497949643</v>
      </c>
      <c r="BE398" s="31">
        <f t="shared" si="360"/>
        <v>102.104289602734</v>
      </c>
      <c r="BF398" s="30" t="str">
        <f t="shared" si="361"/>
        <v>0,358601395977664-0,366293140844534i</v>
      </c>
      <c r="BG398" s="68">
        <f t="shared" si="362"/>
        <v>-5.80431447774252</v>
      </c>
      <c r="BH398" s="31">
        <f t="shared" si="363"/>
        <v>-45.6079339228592</v>
      </c>
      <c r="BI398" s="30" t="str">
        <f t="shared" si="369"/>
        <v>0,777237662734924+0,478887089643081i</v>
      </c>
      <c r="BJ398" s="68">
        <f t="shared" si="364"/>
        <v>-0.79130230386447</v>
      </c>
      <c r="BK398" s="31">
        <f t="shared" si="370"/>
        <v>31.6388772287818</v>
      </c>
      <c r="BL398" s="32">
        <f t="shared" si="365"/>
        <v>-5.80431447774252</v>
      </c>
      <c r="BM398" s="31">
        <f t="shared" si="366"/>
        <v>-45.6079339228592</v>
      </c>
      <c r="BO398">
        <f t="shared" si="367"/>
        <v>0</v>
      </c>
      <c r="BP398">
        <f t="shared" si="368"/>
        <v>0</v>
      </c>
    </row>
    <row r="399" spans="14:68">
      <c r="N399" s="7">
        <v>81</v>
      </c>
      <c r="O399" s="18">
        <f t="shared" si="371"/>
        <v>64565.4229034657</v>
      </c>
      <c r="P399" s="86" t="str">
        <f t="shared" si="319"/>
        <v>54,5454545454545</v>
      </c>
      <c r="Q399" s="4" t="str">
        <f t="shared" si="320"/>
        <v>1+826,10490640647i</v>
      </c>
      <c r="R399" s="4">
        <f t="shared" si="331"/>
        <v>826.105511656255</v>
      </c>
      <c r="S399" s="4">
        <f t="shared" si="332"/>
        <v>1.56958582737308</v>
      </c>
      <c r="T399" s="4" t="str">
        <f t="shared" si="321"/>
        <v>1+6,36100777932983i</v>
      </c>
      <c r="U399" s="4">
        <f t="shared" si="333"/>
        <v>6.43913192664156</v>
      </c>
      <c r="V399" s="4">
        <f t="shared" si="334"/>
        <v>1.41486475416282</v>
      </c>
      <c r="W399" t="str">
        <f t="shared" si="322"/>
        <v>1-18,2554432442502i</v>
      </c>
      <c r="X399" s="4">
        <f t="shared" si="335"/>
        <v>18.2828118199592</v>
      </c>
      <c r="Y399" s="4">
        <f t="shared" si="336"/>
        <v>-1.51607283599056</v>
      </c>
      <c r="Z399" t="str">
        <f t="shared" si="323"/>
        <v>0,965969846247319+1,26049489067441i</v>
      </c>
      <c r="AA399" s="4">
        <f t="shared" si="337"/>
        <v>1.58806332155722</v>
      </c>
      <c r="AB399" s="4">
        <f t="shared" si="338"/>
        <v>0.916918277663174</v>
      </c>
      <c r="AC399" s="67" t="str">
        <f t="shared" si="339"/>
        <v>-4,16288747154263-2,57456731088059i</v>
      </c>
      <c r="AD399" s="68">
        <f t="shared" si="340"/>
        <v>13.7945108516402</v>
      </c>
      <c r="AE399" s="31">
        <f t="shared" si="341"/>
        <v>-148.264986901875</v>
      </c>
      <c r="AF399" s="32" t="str">
        <f t="shared" si="342"/>
        <v>432,040091031901</v>
      </c>
      <c r="AG399" s="32" t="str">
        <f t="shared" si="324"/>
        <v>1+673,122516331198i</v>
      </c>
      <c r="AH399" s="32">
        <f t="shared" si="343"/>
        <v>673.123259137614</v>
      </c>
      <c r="AI399" s="32">
        <f t="shared" si="344"/>
        <v>1.56931071423543</v>
      </c>
      <c r="AJ399" s="32" t="str">
        <f t="shared" si="325"/>
        <v>1+6,36100777932983i</v>
      </c>
      <c r="AK399" s="32">
        <f t="shared" si="345"/>
        <v>6.43913192664156</v>
      </c>
      <c r="AL399" s="32">
        <f t="shared" si="346"/>
        <v>1.41486475416282</v>
      </c>
      <c r="AM399" s="32" t="str">
        <f t="shared" si="326"/>
        <v>1-1,87791736508709i</v>
      </c>
      <c r="AN399" s="32">
        <f t="shared" si="347"/>
        <v>2.12757458860921</v>
      </c>
      <c r="AO399" s="32">
        <f t="shared" si="348"/>
        <v>-1.08148427887391</v>
      </c>
      <c r="AP399" s="30" t="str">
        <f t="shared" si="349"/>
        <v>2,88978516741429-8,30467287280097i</v>
      </c>
      <c r="AQ399" s="32">
        <f t="shared" si="350"/>
        <v>18.8828313824927</v>
      </c>
      <c r="AR399" s="31">
        <f t="shared" si="351"/>
        <v>-70.813586464231</v>
      </c>
      <c r="AS399" t="str">
        <f t="shared" si="327"/>
        <v>-0,000201496259351621</v>
      </c>
      <c r="AT399" t="str">
        <f t="shared" si="328"/>
        <v>0,091155513266289i</v>
      </c>
      <c r="AU399">
        <f t="shared" si="352"/>
        <v>0.091155513266289</v>
      </c>
      <c r="AV399">
        <f t="shared" si="353"/>
        <v>1.5707963267949</v>
      </c>
      <c r="AW399" t="str">
        <f t="shared" si="329"/>
        <v>1+4,6669950834581i</v>
      </c>
      <c r="AX399">
        <f t="shared" si="354"/>
        <v>4.77292814831965</v>
      </c>
      <c r="AY399">
        <f t="shared" si="355"/>
        <v>1.35971741090023</v>
      </c>
      <c r="AZ399" t="str">
        <f t="shared" si="330"/>
        <v>1+223,12208409639i</v>
      </c>
      <c r="BA399">
        <f t="shared" si="356"/>
        <v>223.124325010781</v>
      </c>
      <c r="BB399">
        <f t="shared" si="357"/>
        <v>1.56631450551545</v>
      </c>
      <c r="BC399" s="30" t="str">
        <f t="shared" si="358"/>
        <v>-0,0211970986278052+0,101137222138875i</v>
      </c>
      <c r="BD399" s="32">
        <f t="shared" si="359"/>
        <v>-19.7150785904825</v>
      </c>
      <c r="BE399" s="31">
        <f t="shared" si="360"/>
        <v>101.837141581117</v>
      </c>
      <c r="BF399" s="30" t="str">
        <f t="shared" si="361"/>
        <v>0,34862572234276-0,366449517735888i</v>
      </c>
      <c r="BG399" s="68">
        <f t="shared" si="362"/>
        <v>-5.92056773884228</v>
      </c>
      <c r="BH399" s="31">
        <f t="shared" si="363"/>
        <v>-46.4278453207584</v>
      </c>
      <c r="BI399" s="30" t="str">
        <f t="shared" si="369"/>
        <v>0,778656483920312+0,468299814366826i</v>
      </c>
      <c r="BJ399" s="68">
        <f t="shared" si="364"/>
        <v>-0.832247207989824</v>
      </c>
      <c r="BK399" s="31">
        <f t="shared" si="370"/>
        <v>31.023555116886</v>
      </c>
      <c r="BL399" s="32">
        <f t="shared" si="365"/>
        <v>-5.92056773884228</v>
      </c>
      <c r="BM399" s="31">
        <f t="shared" si="366"/>
        <v>-46.4278453207584</v>
      </c>
      <c r="BO399">
        <f t="shared" si="367"/>
        <v>0</v>
      </c>
      <c r="BP399">
        <f t="shared" si="368"/>
        <v>0</v>
      </c>
    </row>
    <row r="400" spans="14:68">
      <c r="N400" s="7">
        <v>82</v>
      </c>
      <c r="O400" s="18">
        <f t="shared" si="371"/>
        <v>66069.3448007597</v>
      </c>
      <c r="P400" s="86" t="str">
        <f t="shared" si="319"/>
        <v>54,5454545454545</v>
      </c>
      <c r="Q400" s="4" t="str">
        <f t="shared" si="320"/>
        <v>1+845,347361614488i</v>
      </c>
      <c r="R400" s="4">
        <f t="shared" si="331"/>
        <v>845.347953087115</v>
      </c>
      <c r="S400" s="4">
        <f t="shared" si="332"/>
        <v>1.56961338167795</v>
      </c>
      <c r="T400" s="4" t="str">
        <f t="shared" si="321"/>
        <v>1+6,50917468443157i</v>
      </c>
      <c r="U400" s="4">
        <f t="shared" si="333"/>
        <v>6.58554136517605</v>
      </c>
      <c r="V400" s="4">
        <f t="shared" si="334"/>
        <v>1.41835883773282</v>
      </c>
      <c r="W400" t="str">
        <f t="shared" si="322"/>
        <v>1-18,6806671428202i</v>
      </c>
      <c r="X400" s="4">
        <f t="shared" si="335"/>
        <v>18.7074136347289</v>
      </c>
      <c r="Y400" s="4">
        <f t="shared" si="336"/>
        <v>-1.51731609334981</v>
      </c>
      <c r="Z400" t="str">
        <f t="shared" si="323"/>
        <v>0,964366054511007+1,28985558843282i</v>
      </c>
      <c r="AA400" s="4">
        <f t="shared" si="337"/>
        <v>1.61050592240591</v>
      </c>
      <c r="AB400" s="4">
        <f t="shared" si="338"/>
        <v>0.928798168303425</v>
      </c>
      <c r="AC400" s="67" t="str">
        <f t="shared" si="339"/>
        <v>-4,22280381552674-2,55558079982824i</v>
      </c>
      <c r="AD400" s="68">
        <f t="shared" si="340"/>
        <v>13.8673192904686</v>
      </c>
      <c r="AE400" s="31">
        <f t="shared" si="341"/>
        <v>-148.818270399722</v>
      </c>
      <c r="AF400" s="32" t="str">
        <f t="shared" si="342"/>
        <v>432,040091031901</v>
      </c>
      <c r="AG400" s="32" t="str">
        <f t="shared" si="324"/>
        <v>1+688,801553908101i</v>
      </c>
      <c r="AH400" s="32">
        <f t="shared" si="343"/>
        <v>688.802279806197</v>
      </c>
      <c r="AI400" s="32">
        <f t="shared" si="344"/>
        <v>1.5693445308578</v>
      </c>
      <c r="AJ400" s="32" t="str">
        <f t="shared" si="325"/>
        <v>1+6,50917468443157i</v>
      </c>
      <c r="AK400" s="32">
        <f t="shared" si="345"/>
        <v>6.58554136517605</v>
      </c>
      <c r="AL400" s="32">
        <f t="shared" si="346"/>
        <v>1.41835883773282</v>
      </c>
      <c r="AM400" s="32" t="str">
        <f t="shared" si="326"/>
        <v>1-1,92165967977595i</v>
      </c>
      <c r="AN400" s="32">
        <f t="shared" si="347"/>
        <v>2.16628158946999</v>
      </c>
      <c r="AO400" s="32">
        <f t="shared" si="348"/>
        <v>-1.09097520465774</v>
      </c>
      <c r="AP400" s="30" t="str">
        <f t="shared" si="349"/>
        <v>2,88974253849383-8,46875068726206i</v>
      </c>
      <c r="AQ400" s="32">
        <f t="shared" si="350"/>
        <v>19.0347172764931</v>
      </c>
      <c r="AR400" s="31">
        <f t="shared" si="351"/>
        <v>-71.1591177632279</v>
      </c>
      <c r="AS400" t="str">
        <f t="shared" si="327"/>
        <v>-0,000201496259351621</v>
      </c>
      <c r="AT400" t="str">
        <f t="shared" si="328"/>
        <v>0,0932787979331488i</v>
      </c>
      <c r="AU400">
        <f t="shared" si="352"/>
        <v>0.0932787979331488</v>
      </c>
      <c r="AV400">
        <f t="shared" si="353"/>
        <v>1.5707963267949</v>
      </c>
      <c r="AW400" t="str">
        <f t="shared" si="329"/>
        <v>1+4,77570336391141i</v>
      </c>
      <c r="AX400">
        <f t="shared" si="354"/>
        <v>4.87927685421464</v>
      </c>
      <c r="AY400">
        <f t="shared" si="355"/>
        <v>1.36438533564385</v>
      </c>
      <c r="AZ400" t="str">
        <f t="shared" si="330"/>
        <v>1+228,319265078913i</v>
      </c>
      <c r="BA400">
        <f t="shared" si="356"/>
        <v>228.32145498436</v>
      </c>
      <c r="BB400">
        <f t="shared" si="357"/>
        <v>1.5664165229031</v>
      </c>
      <c r="BC400" s="30" t="str">
        <f t="shared" si="358"/>
        <v>-0,0202831448226951+0,0990264336465231i</v>
      </c>
      <c r="BD400" s="32">
        <f t="shared" si="359"/>
        <v>-19.9064938066218</v>
      </c>
      <c r="BE400" s="31">
        <f t="shared" si="360"/>
        <v>101.575534359972</v>
      </c>
      <c r="BF400" s="30" t="str">
        <f t="shared" si="361"/>
        <v>0,338721793850678-0,366333986371528i</v>
      </c>
      <c r="BG400" s="68">
        <f t="shared" si="362"/>
        <v>-6.03917451615329</v>
      </c>
      <c r="BH400" s="31">
        <f t="shared" si="363"/>
        <v>-47.2427360397497</v>
      </c>
      <c r="BI400" s="30" t="str">
        <f t="shared" si="369"/>
        <v>0,78001711159253+0,457933794400729i</v>
      </c>
      <c r="BJ400" s="68">
        <f t="shared" si="364"/>
        <v>-0.871776530128707</v>
      </c>
      <c r="BK400" s="31">
        <f t="shared" si="370"/>
        <v>30.4164165967442</v>
      </c>
      <c r="BL400" s="32">
        <f t="shared" si="365"/>
        <v>-6.03917451615329</v>
      </c>
      <c r="BM400" s="31">
        <f t="shared" si="366"/>
        <v>-47.2427360397497</v>
      </c>
      <c r="BO400">
        <f t="shared" si="367"/>
        <v>0</v>
      </c>
      <c r="BP400">
        <f t="shared" si="368"/>
        <v>0</v>
      </c>
    </row>
    <row r="401" spans="14:68">
      <c r="N401" s="7">
        <v>83</v>
      </c>
      <c r="O401" s="18">
        <f t="shared" si="371"/>
        <v>67608.2975391983</v>
      </c>
      <c r="P401" s="86" t="str">
        <f t="shared" si="319"/>
        <v>54,5454545454545</v>
      </c>
      <c r="Q401" s="4" t="str">
        <f t="shared" si="320"/>
        <v>1+865,038031183132i</v>
      </c>
      <c r="R401" s="4">
        <f t="shared" si="331"/>
        <v>865.038609192208</v>
      </c>
      <c r="S401" s="4">
        <f t="shared" si="332"/>
        <v>1.569640308772</v>
      </c>
      <c r="T401" s="4" t="str">
        <f t="shared" si="321"/>
        <v>1+6,66079284011013i</v>
      </c>
      <c r="U401" s="4">
        <f t="shared" si="333"/>
        <v>6.7354406877993</v>
      </c>
      <c r="V401" s="4">
        <f t="shared" si="334"/>
        <v>1.42177701480753</v>
      </c>
      <c r="W401" t="str">
        <f t="shared" si="322"/>
        <v>1-19,1157957783773i</v>
      </c>
      <c r="X401" s="4">
        <f t="shared" si="335"/>
        <v>19.141934286812</v>
      </c>
      <c r="Y401" s="4">
        <f t="shared" si="336"/>
        <v>-1.51853121064356</v>
      </c>
      <c r="Z401" t="str">
        <f t="shared" si="323"/>
        <v>0,962686678398785+1,31990018469748i</v>
      </c>
      <c r="AA401" s="4">
        <f t="shared" si="337"/>
        <v>1.63367748908128</v>
      </c>
      <c r="AB401" s="4">
        <f t="shared" si="338"/>
        <v>0.940634089625533</v>
      </c>
      <c r="AC401" s="67" t="str">
        <f t="shared" si="339"/>
        <v>-4,28208043811906-2,53526734064671i</v>
      </c>
      <c r="AD401" s="68">
        <f t="shared" si="340"/>
        <v>13.9381717153555</v>
      </c>
      <c r="AE401" s="31">
        <f t="shared" si="341"/>
        <v>-149.371735519507</v>
      </c>
      <c r="AF401" s="32" t="str">
        <f t="shared" si="342"/>
        <v>432,040091031901</v>
      </c>
      <c r="AG401" s="32" t="str">
        <f t="shared" si="324"/>
        <v>1+704,845803186256i</v>
      </c>
      <c r="AH401" s="32">
        <f t="shared" si="343"/>
        <v>704.846512560911</v>
      </c>
      <c r="AI401" s="32">
        <f t="shared" si="344"/>
        <v>1.56937757772307</v>
      </c>
      <c r="AJ401" s="32" t="str">
        <f t="shared" si="325"/>
        <v>1+6,66079284011013i</v>
      </c>
      <c r="AK401" s="32">
        <f t="shared" si="345"/>
        <v>6.7354406877993</v>
      </c>
      <c r="AL401" s="32">
        <f t="shared" si="346"/>
        <v>1.42177701480753</v>
      </c>
      <c r="AM401" s="32" t="str">
        <f t="shared" si="326"/>
        <v>1-1,96642088386321i</v>
      </c>
      <c r="AN401" s="32">
        <f t="shared" si="347"/>
        <v>2.2060850147928</v>
      </c>
      <c r="AO401" s="32">
        <f t="shared" si="348"/>
        <v>-1.10034156705602</v>
      </c>
      <c r="AP401" s="30" t="str">
        <f t="shared" si="349"/>
        <v>2,88970182818292-8,63731873986238i</v>
      </c>
      <c r="AQ401" s="32">
        <f t="shared" si="350"/>
        <v>19.1883550868623</v>
      </c>
      <c r="AR401" s="31">
        <f t="shared" si="351"/>
        <v>-71.5018171239368</v>
      </c>
      <c r="AS401" t="str">
        <f t="shared" si="327"/>
        <v>-0,000201496259351621</v>
      </c>
      <c r="AT401" t="str">
        <f t="shared" si="328"/>
        <v>0,0954515402533637i</v>
      </c>
      <c r="AU401">
        <f t="shared" si="352"/>
        <v>0.0954515402533637</v>
      </c>
      <c r="AV401">
        <f t="shared" si="353"/>
        <v>1.5707963267949</v>
      </c>
      <c r="AW401" t="str">
        <f t="shared" si="329"/>
        <v>1+4,88694378550218i</v>
      </c>
      <c r="AX401">
        <f t="shared" si="354"/>
        <v>4.98820805126033</v>
      </c>
      <c r="AY401">
        <f t="shared" si="355"/>
        <v>1.36895583990437</v>
      </c>
      <c r="AZ401" t="str">
        <f t="shared" si="330"/>
        <v>1+233,637503957944i</v>
      </c>
      <c r="BA401">
        <f t="shared" si="356"/>
        <v>233.639644015519</v>
      </c>
      <c r="BB401">
        <f t="shared" si="357"/>
        <v>1.56651621817959</v>
      </c>
      <c r="BC401" s="30" t="str">
        <f t="shared" si="358"/>
        <v>-0,0194069414503192+0,0969516115695487i</v>
      </c>
      <c r="BD401" s="32">
        <f t="shared" si="359"/>
        <v>-20.0982795154601</v>
      </c>
      <c r="BE401" s="31">
        <f t="shared" si="360"/>
        <v>101.319375874178</v>
      </c>
      <c r="BF401" s="30" t="str">
        <f t="shared" si="361"/>
        <v>0,328900338783476-0,365952814505245i</v>
      </c>
      <c r="BG401" s="68">
        <f t="shared" si="362"/>
        <v>-6.1601078001046</v>
      </c>
      <c r="BH401" s="31">
        <f t="shared" si="363"/>
        <v>-48.0523596453292</v>
      </c>
      <c r="BI401" s="30" t="str">
        <f t="shared" si="369"/>
        <v>0,781321697281095+0,447785188270059i</v>
      </c>
      <c r="BJ401" s="68">
        <f t="shared" si="364"/>
        <v>-0.909924428597799</v>
      </c>
      <c r="BK401" s="31">
        <f t="shared" si="370"/>
        <v>29.8175587502413</v>
      </c>
      <c r="BL401" s="32">
        <f t="shared" si="365"/>
        <v>-6.1601078001046</v>
      </c>
      <c r="BM401" s="31">
        <f t="shared" si="366"/>
        <v>-48.0523596453292</v>
      </c>
      <c r="BO401">
        <f t="shared" si="367"/>
        <v>0</v>
      </c>
      <c r="BP401">
        <f t="shared" si="368"/>
        <v>0</v>
      </c>
    </row>
    <row r="402" spans="14:68">
      <c r="N402" s="7">
        <v>84</v>
      </c>
      <c r="O402" s="18">
        <f t="shared" si="371"/>
        <v>69183.0970918937</v>
      </c>
      <c r="P402" s="86" t="str">
        <f t="shared" si="319"/>
        <v>54,5454545454545</v>
      </c>
      <c r="Q402" s="4" t="str">
        <f t="shared" si="320"/>
        <v>1+885,187355366037i</v>
      </c>
      <c r="R402" s="4">
        <f t="shared" si="331"/>
        <v>885.187920218028</v>
      </c>
      <c r="S402" s="4">
        <f t="shared" si="332"/>
        <v>1.56966662293217</v>
      </c>
      <c r="T402" s="4" t="str">
        <f t="shared" si="321"/>
        <v>1+6,81594263631849i</v>
      </c>
      <c r="U402" s="4">
        <f t="shared" si="333"/>
        <v>6.88890949436732</v>
      </c>
      <c r="V402" s="4">
        <f t="shared" si="334"/>
        <v>1.42512077808273</v>
      </c>
      <c r="W402" t="str">
        <f t="shared" si="322"/>
        <v>1-19,5610598618834i</v>
      </c>
      <c r="X402" s="4">
        <f t="shared" si="335"/>
        <v>19.5866041702023</v>
      </c>
      <c r="Y402" s="4">
        <f t="shared" si="336"/>
        <v>-1.51971881778187</v>
      </c>
      <c r="Z402" t="str">
        <f t="shared" si="323"/>
        <v>0,960928155728764+1,350644609511i</v>
      </c>
      <c r="AA402" s="4">
        <f t="shared" si="337"/>
        <v>1.65759578355925</v>
      </c>
      <c r="AB402" s="4">
        <f t="shared" si="338"/>
        <v>0.952421140503845</v>
      </c>
      <c r="AC402" s="67" t="str">
        <f t="shared" si="339"/>
        <v>-4,3406645875235-2,51366014640233i</v>
      </c>
      <c r="AD402" s="68">
        <f t="shared" si="340"/>
        <v>14.0070815792152</v>
      </c>
      <c r="AE402" s="31">
        <f t="shared" si="341"/>
        <v>-149.925052831445</v>
      </c>
      <c r="AF402" s="32" t="str">
        <f t="shared" si="342"/>
        <v>432,040091031901</v>
      </c>
      <c r="AG402" s="32" t="str">
        <f t="shared" si="324"/>
        <v>1+721,263771038993i</v>
      </c>
      <c r="AH402" s="32">
        <f t="shared" si="343"/>
        <v>721.264464266325</v>
      </c>
      <c r="AI402" s="32">
        <f t="shared" si="344"/>
        <v>1.56940987235284</v>
      </c>
      <c r="AJ402" s="32" t="str">
        <f t="shared" si="325"/>
        <v>1+6,81594263631849i</v>
      </c>
      <c r="AK402" s="32">
        <f t="shared" si="345"/>
        <v>6.88890949436732</v>
      </c>
      <c r="AL402" s="32">
        <f t="shared" si="346"/>
        <v>1.42512077808273</v>
      </c>
      <c r="AM402" s="32" t="str">
        <f t="shared" si="326"/>
        <v>1-2,01222471033175i</v>
      </c>
      <c r="AN402" s="32">
        <f t="shared" si="347"/>
        <v>2.24700874160954</v>
      </c>
      <c r="AO402" s="32">
        <f t="shared" si="348"/>
        <v>-1.10958175775252</v>
      </c>
      <c r="AP402" s="30" t="str">
        <f t="shared" si="349"/>
        <v>2,88966295013063-8,81046640798658i</v>
      </c>
      <c r="AQ402" s="32">
        <f t="shared" si="350"/>
        <v>19.3436950871462</v>
      </c>
      <c r="AR402" s="31">
        <f t="shared" si="351"/>
        <v>-71.8415078753696</v>
      </c>
      <c r="AS402" t="str">
        <f t="shared" si="327"/>
        <v>-0,000201496259351621</v>
      </c>
      <c r="AT402" t="str">
        <f t="shared" si="328"/>
        <v>0,0976748922436713i</v>
      </c>
      <c r="AU402">
        <f t="shared" si="352"/>
        <v>0.0976748922436713</v>
      </c>
      <c r="AV402">
        <f t="shared" si="353"/>
        <v>1.5707963267949</v>
      </c>
      <c r="AW402" t="str">
        <f t="shared" si="329"/>
        <v>1+5,00077532937434i</v>
      </c>
      <c r="AX402">
        <f t="shared" si="354"/>
        <v>5.09977978886138</v>
      </c>
      <c r="AY402">
        <f t="shared" si="355"/>
        <v>1.37343058285995</v>
      </c>
      <c r="AZ402" t="str">
        <f t="shared" si="330"/>
        <v>1+239,07962053413i</v>
      </c>
      <c r="BA402">
        <f t="shared" si="356"/>
        <v>239.081711878478</v>
      </c>
      <c r="BB402">
        <f t="shared" si="357"/>
        <v>1.56661364419674</v>
      </c>
      <c r="BC402" s="30" t="str">
        <f t="shared" si="358"/>
        <v>-0,0185670696576984+0,0949126717728847i</v>
      </c>
      <c r="BD402" s="32">
        <f t="shared" si="359"/>
        <v>-20.2904203849233</v>
      </c>
      <c r="BE402" s="31">
        <f t="shared" si="360"/>
        <v>101.068574088015</v>
      </c>
      <c r="BF402" s="30" t="str">
        <f t="shared" si="361"/>
        <v>0,319171622181319-0,36531277023777i</v>
      </c>
      <c r="BG402" s="68">
        <f t="shared" si="362"/>
        <v>-6.28333880570817</v>
      </c>
      <c r="BH402" s="31">
        <f t="shared" si="363"/>
        <v>-48.8564787434303</v>
      </c>
      <c r="BI402" s="30" t="str">
        <f t="shared" si="369"/>
        <v>0,782572333064911+0,437850174633913i</v>
      </c>
      <c r="BJ402" s="68">
        <f t="shared" si="364"/>
        <v>-0.946725297777094</v>
      </c>
      <c r="BK402" s="31">
        <f t="shared" si="370"/>
        <v>29.2270662126453</v>
      </c>
      <c r="BL402" s="32">
        <f t="shared" si="365"/>
        <v>-6.28333880570817</v>
      </c>
      <c r="BM402" s="31">
        <f t="shared" si="366"/>
        <v>-48.8564787434303</v>
      </c>
      <c r="BO402">
        <f t="shared" si="367"/>
        <v>0</v>
      </c>
      <c r="BP402">
        <f t="shared" si="368"/>
        <v>0</v>
      </c>
    </row>
    <row r="403" spans="14:68">
      <c r="N403" s="7">
        <v>85</v>
      </c>
      <c r="O403" s="18">
        <f t="shared" si="371"/>
        <v>70794.5784384138</v>
      </c>
      <c r="P403" s="86" t="str">
        <f t="shared" ref="P403:P466" si="372">COMPLEX(Adc,0)</f>
        <v>54,5454545454545</v>
      </c>
      <c r="Q403" s="4" t="str">
        <f t="shared" ref="Q403:Q466" si="373">IMSUM(COMPLEX(1,0),IMDIV(COMPLEX(0,2*PI()*O403),COMPLEX(wp_lf,0)))</f>
        <v>1+905,806017601599i</v>
      </c>
      <c r="R403" s="4">
        <f t="shared" si="331"/>
        <v>905.806569595997</v>
      </c>
      <c r="S403" s="4">
        <f t="shared" si="332"/>
        <v>1.56969233811045</v>
      </c>
      <c r="T403" s="4" t="str">
        <f t="shared" ref="T403:T466" si="374">IMSUM(COMPLEX(1,0),IMDIV(COMPLEX(0,2*PI()*O403),COMPLEX(wz_esr,0)))</f>
        <v>1+6,97470633553232i</v>
      </c>
      <c r="U403" s="4">
        <f t="shared" si="333"/>
        <v>7.04602926951873</v>
      </c>
      <c r="V403" s="4">
        <f t="shared" si="334"/>
        <v>1.42839160122457</v>
      </c>
      <c r="W403" t="str">
        <f t="shared" ref="W403:W466" si="375">IMSUB(COMPLEX(1,0),IMDIV(COMPLEX(0,2*PI()*O403),COMPLEX(wz_rhp,0)))</f>
        <v>1-20,0166954782496i</v>
      </c>
      <c r="X403" s="4">
        <f t="shared" si="335"/>
        <v>20.0416590597929</v>
      </c>
      <c r="Y403" s="4">
        <f t="shared" si="336"/>
        <v>-1.52087953104206</v>
      </c>
      <c r="Z403" t="str">
        <f t="shared" ref="Z403:Z466" si="376">IMSUM(COMPLEX(1,0),IMDIV(COMPLEX(0,2*PI()*O403),COMPLEX(Q*(wsl/2),0)),IMDIV(IMPOWER(COMPLEX(0,2*PI()*O403),2),IMPOWER(COMPLEX(wsl/2,0),2)))</f>
        <v>0,95908675643859+1,38210516397438i</v>
      </c>
      <c r="AA403" s="4">
        <f t="shared" si="337"/>
        <v>1.68227883855815</v>
      </c>
      <c r="AB403" s="4">
        <f t="shared" si="338"/>
        <v>0.964154584956777</v>
      </c>
      <c r="AC403" s="67" t="str">
        <f t="shared" si="339"/>
        <v>-4,39850610361073-2,49079489341296i</v>
      </c>
      <c r="AD403" s="68">
        <f t="shared" si="340"/>
        <v>14.0740645966102</v>
      </c>
      <c r="AE403" s="31">
        <f t="shared" si="341"/>
        <v>-150.477902658407</v>
      </c>
      <c r="AF403" s="32" t="str">
        <f t="shared" si="342"/>
        <v>432,040091031901</v>
      </c>
      <c r="AG403" s="32" t="str">
        <f t="shared" ref="AG403:AG466" si="377">IMSUM(COMPLEX(1,0),IMDIV(COMPLEX(0,2*PI()*O403),COMPLEX(wp_lf_DCM,0)))</f>
        <v>1+738,064162490191i</v>
      </c>
      <c r="AH403" s="32">
        <f t="shared" si="343"/>
        <v>738.064839937757</v>
      </c>
      <c r="AI403" s="32">
        <f t="shared" si="344"/>
        <v>1.56944143186989</v>
      </c>
      <c r="AJ403" s="32" t="str">
        <f t="shared" ref="AJ403:AJ466" si="378">IMSUM(COMPLEX(1,0),IMDIV(COMPLEX(0,2*PI()*O403),COMPLEX(wz1_dcm,0)))</f>
        <v>1+6,97470633553232i</v>
      </c>
      <c r="AK403" s="32">
        <f t="shared" si="345"/>
        <v>7.04602926951873</v>
      </c>
      <c r="AL403" s="32">
        <f t="shared" si="346"/>
        <v>1.42839160122457</v>
      </c>
      <c r="AM403" s="32" t="str">
        <f t="shared" ref="AM403:AM466" si="379">IMSUB(COMPLEX(1,0),IMDIV(COMPLEX(0,2*PI()*O403),COMPLEX(wz2_dcm,0)))</f>
        <v>1-2,05909544497665i</v>
      </c>
      <c r="AN403" s="32">
        <f t="shared" si="347"/>
        <v>2.28907711786291</v>
      </c>
      <c r="AO403" s="32">
        <f t="shared" si="348"/>
        <v>-1.11869436358537</v>
      </c>
      <c r="AP403" s="30" t="str">
        <f t="shared" si="349"/>
        <v>2,88962582187235-8,98828549716728i</v>
      </c>
      <c r="AQ403" s="32">
        <f t="shared" si="350"/>
        <v>19.5006879820268</v>
      </c>
      <c r="AR403" s="31">
        <f t="shared" si="351"/>
        <v>-72.1780255955274</v>
      </c>
      <c r="AS403" t="str">
        <f t="shared" ref="AS403:AS466" si="380">COMPLEX(Adc_ea,0)</f>
        <v>-0,000201496259351621</v>
      </c>
      <c r="AT403" t="str">
        <f t="shared" ref="AT403:AT466" si="381">COMPLEX(0,2*PI()*O403*wp0_ea)</f>
        <v>0,0999500327547266i</v>
      </c>
      <c r="AU403">
        <f t="shared" si="352"/>
        <v>0.0999500327547266</v>
      </c>
      <c r="AV403">
        <f t="shared" si="353"/>
        <v>1.5707963267949</v>
      </c>
      <c r="AW403" t="str">
        <f t="shared" ref="AW403:AW466" si="382">IMSUM(COMPLEX(1,0),IMDIV(COMPLEX(0,2*PI()*O403),COMPLEX(wp1_ea,0)))</f>
        <v>1+5,11725835051924i</v>
      </c>
      <c r="AX403">
        <f t="shared" si="354"/>
        <v>5.21405149820741</v>
      </c>
      <c r="AY403">
        <f t="shared" si="355"/>
        <v>1.37781121994472</v>
      </c>
      <c r="AZ403" t="str">
        <f t="shared" ref="AZ403:AZ466" si="383">IMSUM(COMPLEX(1,0),IMDIV(COMPLEX(0,2*PI()*O403),COMPLEX(wz_ea,0)))</f>
        <v>1+244,648500289717i</v>
      </c>
      <c r="BA403">
        <f t="shared" si="356"/>
        <v>244.650544029658</v>
      </c>
      <c r="BB403">
        <f t="shared" si="357"/>
        <v>1.56670885260372</v>
      </c>
      <c r="BC403" s="30" t="str">
        <f t="shared" si="358"/>
        <v>-0,0177621519513283+0,0929094903142761i</v>
      </c>
      <c r="BD403" s="32">
        <f t="shared" si="359"/>
        <v>-20.4829016616653</v>
      </c>
      <c r="BE403" s="31">
        <f t="shared" si="360"/>
        <v>100.823037111373</v>
      </c>
      <c r="BF403" s="30" t="str">
        <f t="shared" si="361"/>
        <v>0,309545417795579-0,364421082854312i</v>
      </c>
      <c r="BG403" s="68">
        <f t="shared" si="362"/>
        <v>-6.40883706505508</v>
      </c>
      <c r="BH403" s="31">
        <f t="shared" si="363"/>
        <v>-49.6548655470337</v>
      </c>
      <c r="BI403" s="30" t="str">
        <f t="shared" si="369"/>
        <v>0,783771051410433+0,428124955091737i</v>
      </c>
      <c r="BJ403" s="68">
        <f t="shared" si="364"/>
        <v>-0.982213679638491</v>
      </c>
      <c r="BK403" s="31">
        <f t="shared" si="370"/>
        <v>28.6450115158454</v>
      </c>
      <c r="BL403" s="32">
        <f t="shared" si="365"/>
        <v>-6.40883706505508</v>
      </c>
      <c r="BM403" s="31">
        <f t="shared" si="366"/>
        <v>-49.6548655470337</v>
      </c>
      <c r="BO403">
        <f t="shared" si="367"/>
        <v>0</v>
      </c>
      <c r="BP403">
        <f t="shared" si="368"/>
        <v>0</v>
      </c>
    </row>
    <row r="404" spans="14:68">
      <c r="N404" s="7">
        <v>86</v>
      </c>
      <c r="O404" s="18">
        <f t="shared" si="371"/>
        <v>72443.5960074991</v>
      </c>
      <c r="P404" s="86" t="str">
        <f t="shared" si="372"/>
        <v>54,5454545454545</v>
      </c>
      <c r="Q404" s="4" t="str">
        <f t="shared" si="373"/>
        <v>1+926,904950177455i</v>
      </c>
      <c r="R404" s="4">
        <f t="shared" ref="R404:R467" si="384">IMABS(Q404)</f>
        <v>926.905489606934</v>
      </c>
      <c r="S404" s="4">
        <f t="shared" ref="S404:S467" si="385">IMARGUMENT(Q404)</f>
        <v>1.56971746794121</v>
      </c>
      <c r="T404" s="4" t="str">
        <f t="shared" si="374"/>
        <v>1+7,13716811636641i</v>
      </c>
      <c r="U404" s="4">
        <f t="shared" ref="U404:U467" si="386">IMABS(T404)</f>
        <v>7.20688342636935</v>
      </c>
      <c r="V404" s="4">
        <f t="shared" ref="V404:V467" si="387">IMARGUMENT(T404)</f>
        <v>1.43159093838336</v>
      </c>
      <c r="W404" t="str">
        <f t="shared" si="375"/>
        <v>1-20,4829442115108i</v>
      </c>
      <c r="X404" s="4">
        <f t="shared" ref="X404:X467" si="388">IMABS(W404)</f>
        <v>20.5073402364096</v>
      </c>
      <c r="Y404" s="4">
        <f t="shared" ref="Y404:Y467" si="389">IMARGUMENT(W404)</f>
        <v>-1.52201395333234</v>
      </c>
      <c r="Z404" t="str">
        <f t="shared" si="376"/>
        <v>0,957158574673488+1,41429852889003i</v>
      </c>
      <c r="AA404" s="4">
        <f t="shared" ref="AA404:AA467" si="390">IMABS(Z404)</f>
        <v>1.70774496511964</v>
      </c>
      <c r="AB404" s="4">
        <f t="shared" ref="AB404:AB467" si="391">IMARGUMENT(Z404)</f>
        <v>0.9758298623353</v>
      </c>
      <c r="AC404" s="67" t="str">
        <f t="shared" ref="AC404:AC467" si="392">(IMDIV(IMPRODUCT(P404,T404,W404),IMPRODUCT(Q404,Z404)))</f>
        <v>-4,45555755557038-2,46670950005562i</v>
      </c>
      <c r="AD404" s="68">
        <f t="shared" ref="AD404:AD467" si="393">20*LOG(IMABS(AC404))</f>
        <v>14.1391386291319</v>
      </c>
      <c r="AE404" s="31">
        <f t="shared" ref="AE404:AE467" si="394">(180/PI())*IMARGUMENT(AC404)</f>
        <v>-151.029975703063</v>
      </c>
      <c r="AF404" s="32" t="str">
        <f t="shared" ref="AF404:AF467" si="395">COMPLEX($B$68,0)</f>
        <v>432,040091031901</v>
      </c>
      <c r="AG404" s="32" t="str">
        <f t="shared" si="377"/>
        <v>1+755,255885329778i</v>
      </c>
      <c r="AH404" s="32">
        <f t="shared" ref="AH404:AH467" si="396">IMABS(AG404)</f>
        <v>755.256547356769</v>
      </c>
      <c r="AI404" s="32">
        <f t="shared" ref="AI404:AI467" si="397">IMARGUMENT(AG404)</f>
        <v>1.56947227300723</v>
      </c>
      <c r="AJ404" s="32" t="str">
        <f t="shared" si="378"/>
        <v>1+7,13716811636641i</v>
      </c>
      <c r="AK404" s="32">
        <f t="shared" ref="AK404:AK467" si="398">IMABS(AJ404)</f>
        <v>7.20688342636935</v>
      </c>
      <c r="AL404" s="32">
        <f t="shared" ref="AL404:AL467" si="399">IMARGUMENT(AJ404)</f>
        <v>1.43159093838336</v>
      </c>
      <c r="AM404" s="32" t="str">
        <f t="shared" si="379"/>
        <v>1-2,10705793928183i</v>
      </c>
      <c r="AN404" s="32">
        <f t="shared" ref="AN404:AN467" si="400">IMABS(AM404)</f>
        <v>2.33231497861901</v>
      </c>
      <c r="AO404" s="32">
        <f t="shared" ref="AO404:AO467" si="401">IMARGUMENT(AM404)</f>
        <v>-1.12767816155952</v>
      </c>
      <c r="AP404" s="30" t="str">
        <f t="shared" ref="AP404:AP467" si="402">(IMDIV(IMPRODUCT(AF404,AJ404,AM404),IMPRODUCT(AG404)))</f>
        <v>2,88959036465495-9,17087028976323i</v>
      </c>
      <c r="AQ404" s="32">
        <f t="shared" ref="AQ404:AQ467" si="403">20*LOG(IMABS(AP404))</f>
        <v>19.6592849743187</v>
      </c>
      <c r="AR404" s="31">
        <f t="shared" ref="AR404:AR467" si="404">(180/PI())*IMARGUMENT(AP404)</f>
        <v>-72.5112178540108</v>
      </c>
      <c r="AS404" t="str">
        <f t="shared" si="380"/>
        <v>-0,000201496259351621</v>
      </c>
      <c r="AT404" t="str">
        <f t="shared" si="381"/>
        <v>0,102278168096144i</v>
      </c>
      <c r="AU404">
        <f t="shared" ref="AU404:AU467" si="405">IMABS(AT404)</f>
        <v>0.102278168096144</v>
      </c>
      <c r="AV404">
        <f t="shared" ref="AV404:AV467" si="406">IMARGUMENT(AT404)</f>
        <v>1.5707963267949</v>
      </c>
      <c r="AW404" t="str">
        <f t="shared" si="382"/>
        <v>1+5,23645460977652i</v>
      </c>
      <c r="AX404">
        <f t="shared" ref="AX404:AX467" si="407">IMABS(AW404)</f>
        <v>5.33108402487241</v>
      </c>
      <c r="AY404">
        <f t="shared" ref="AY404:AY467" si="408">IMARGUMENT(AW404)</f>
        <v>1.38209940099393</v>
      </c>
      <c r="AZ404" t="str">
        <f t="shared" si="383"/>
        <v>1+250,347095918464i</v>
      </c>
      <c r="BA404">
        <f t="shared" ref="BA404:BA467" si="409">IMABS(AZ404)</f>
        <v>250.34909313758</v>
      </c>
      <c r="BB404">
        <f t="shared" ref="BB404:BB467" si="410">IMARGUMENT(AZ404)</f>
        <v>1.56680189387436</v>
      </c>
      <c r="BC404" s="30" t="str">
        <f t="shared" ref="BC404:BC467" si="411">IMPRODUCT(AS404,IMDIV(AZ404,IMPRODUCT(AT404,AW404)))</f>
        <v>-0,0169908520556567+0,0909419064112179i</v>
      </c>
      <c r="BD404" s="32">
        <f t="shared" ref="BD404:BD467" si="412">20*LOG(IMABS(BC404))</f>
        <v>-20.6757091539785</v>
      </c>
      <c r="BE404" s="31">
        <f t="shared" ref="BE404:BE467" si="413">(180/PI())*IMARGUMENT(BC404)</f>
        <v>100.582673307594</v>
      </c>
      <c r="BF404" s="30" t="str">
        <f t="shared" ref="BF404:BF467" si="414">IMPRODUCT(AC404,BC404)</f>
        <v>0,30003098374988-0,363285402048748i</v>
      </c>
      <c r="BG404" s="68">
        <f t="shared" ref="BG404:BG467" si="415">20*LOG(IMABS(BF404))</f>
        <v>-6.53657052484658</v>
      </c>
      <c r="BH404" s="31">
        <f t="shared" ref="BH404:BH467" si="416">(180/PI())*IMARGUMENT(BF404)</f>
        <v>-50.447302395469</v>
      </c>
      <c r="BI404" s="30" t="str">
        <f t="shared" si="369"/>
        <v>0,784919825213763+0,418605756824192i</v>
      </c>
      <c r="BJ404" s="68">
        <f t="shared" ref="BJ404:BJ467" si="417">20*LOG(IMABS(BI404))</f>
        <v>-1.01642417965974</v>
      </c>
      <c r="BK404" s="31">
        <f t="shared" si="370"/>
        <v>28.0714554535834</v>
      </c>
      <c r="BL404" s="32">
        <f t="shared" ref="BL404:BL467" si="418">IF($B$31=0,BJ404,BG404)</f>
        <v>-6.53657052484658</v>
      </c>
      <c r="BM404" s="31">
        <f t="shared" ref="BM404:BM467" si="419">IF($B$31=0,BK404,BH404)</f>
        <v>-50.447302395469</v>
      </c>
      <c r="BO404">
        <f t="shared" ref="BO404:BO467" si="420">SUM((BL405&lt;0)*(BL404&gt;0))*O404</f>
        <v>0</v>
      </c>
      <c r="BP404">
        <f t="shared" ref="BP404:BP467" si="421">IF(BO404&gt;0,BM404,0)</f>
        <v>0</v>
      </c>
    </row>
    <row r="405" spans="14:68">
      <c r="N405" s="7">
        <v>87</v>
      </c>
      <c r="O405" s="18">
        <f t="shared" si="371"/>
        <v>74131.0241300919</v>
      </c>
      <c r="P405" s="86" t="str">
        <f t="shared" si="372"/>
        <v>54,5454545454545</v>
      </c>
      <c r="Q405" s="4" t="str">
        <f t="shared" si="373"/>
        <v>1+948,495340026932i</v>
      </c>
      <c r="R405" s="4">
        <f t="shared" si="384"/>
        <v>948.495867177504</v>
      </c>
      <c r="S405" s="4">
        <f t="shared" si="385"/>
        <v>1.56974202574851</v>
      </c>
      <c r="T405" s="4" t="str">
        <f t="shared" si="374"/>
        <v>1+7,30341411820739i</v>
      </c>
      <c r="U405" s="4">
        <f t="shared" si="386"/>
        <v>7.37155735120002</v>
      </c>
      <c r="V405" s="4">
        <f t="shared" si="387"/>
        <v>1.4347202237718</v>
      </c>
      <c r="W405" t="str">
        <f t="shared" si="375"/>
        <v>1-20,9600532729166i</v>
      </c>
      <c r="X405" s="4">
        <f t="shared" si="388"/>
        <v>20.9838946147635</v>
      </c>
      <c r="Y405" s="4">
        <f t="shared" si="389"/>
        <v>-1.52312267445255</v>
      </c>
      <c r="Z405" t="str">
        <f t="shared" si="376"/>
        <v>0,955139520501418+1,44724177360615i</v>
      </c>
      <c r="AA405" s="4">
        <f t="shared" si="390"/>
        <v>1.73401276087991</v>
      </c>
      <c r="AB405" s="4">
        <f t="shared" si="391"/>
        <v>0.987442596575193</v>
      </c>
      <c r="AC405" s="67" t="str">
        <f t="shared" si="392"/>
        <v>-4,51177435849922-2,44144389806348i</v>
      </c>
      <c r="AD405" s="68">
        <f t="shared" si="393"/>
        <v>14.2023235665359</v>
      </c>
      <c r="AE405" s="31">
        <f t="shared" si="394"/>
        <v>-151.580973617524</v>
      </c>
      <c r="AF405" s="32" t="str">
        <f t="shared" si="395"/>
        <v>432,040091031901</v>
      </c>
      <c r="AG405" s="32" t="str">
        <f t="shared" si="377"/>
        <v>1+772,84805483676i</v>
      </c>
      <c r="AH405" s="32">
        <f t="shared" si="396"/>
        <v>772.848701794189</v>
      </c>
      <c r="AI405" s="32">
        <f t="shared" si="397"/>
        <v>1.56950241211701</v>
      </c>
      <c r="AJ405" s="32" t="str">
        <f t="shared" si="378"/>
        <v>1+7,30341411820739i</v>
      </c>
      <c r="AK405" s="32">
        <f t="shared" si="398"/>
        <v>7.37155735120002</v>
      </c>
      <c r="AL405" s="32">
        <f t="shared" si="399"/>
        <v>1.4347202237718</v>
      </c>
      <c r="AM405" s="32" t="str">
        <f t="shared" si="379"/>
        <v>1-2,15613762359662i</v>
      </c>
      <c r="AN405" s="32">
        <f t="shared" si="400"/>
        <v>2.37674766264509</v>
      </c>
      <c r="AO405" s="32">
        <f t="shared" si="401"/>
        <v>-1.13653211345308</v>
      </c>
      <c r="AP405" s="30" t="str">
        <f t="shared" si="402"/>
        <v>2,88955650326977-9,35831759495054i</v>
      </c>
      <c r="AQ405" s="32">
        <f t="shared" si="403"/>
        <v>19.8194378274934</v>
      </c>
      <c r="AR405" s="31">
        <f t="shared" si="404"/>
        <v>-72.8409439276628</v>
      </c>
      <c r="AS405" t="str">
        <f t="shared" si="380"/>
        <v>-0,000201496259351621</v>
      </c>
      <c r="AT405" t="str">
        <f t="shared" si="381"/>
        <v>0,104660532676097i</v>
      </c>
      <c r="AU405">
        <f t="shared" si="405"/>
        <v>0.104660532676097</v>
      </c>
      <c r="AV405">
        <f t="shared" si="406"/>
        <v>1.5707963267949</v>
      </c>
      <c r="AW405" t="str">
        <f t="shared" si="382"/>
        <v>1+5,35842730658057i</v>
      </c>
      <c r="AX405">
        <f t="shared" si="407"/>
        <v>5.4509396621049</v>
      </c>
      <c r="AY405">
        <f t="shared" si="408"/>
        <v>1.38629676852792</v>
      </c>
      <c r="AZ405" t="str">
        <f t="shared" si="383"/>
        <v>1+256,178428891203i</v>
      </c>
      <c r="BA405">
        <f t="shared" si="409"/>
        <v>256.180380648412</v>
      </c>
      <c r="BB405">
        <f t="shared" si="410"/>
        <v>1.56689281733395</v>
      </c>
      <c r="BC405" s="30" t="str">
        <f t="shared" si="411"/>
        <v>-0,0162518746572006+0,0890097252717436i</v>
      </c>
      <c r="BD405" s="32">
        <f t="shared" si="412"/>
        <v>-20.8688292147872</v>
      </c>
      <c r="BE405" s="31">
        <f t="shared" si="413"/>
        <v>100.347391393324</v>
      </c>
      <c r="BF405" s="30" t="str">
        <f t="shared" si="414"/>
        <v>0,290637041988906-0,361913755924198i</v>
      </c>
      <c r="BG405" s="68">
        <f t="shared" si="415"/>
        <v>-6.66650564825136</v>
      </c>
      <c r="BH405" s="31">
        <f t="shared" si="416"/>
        <v>-51.2335822241997</v>
      </c>
      <c r="BI405" s="30" t="str">
        <f t="shared" si="369"/>
        <v>0,786020568026233+0,409288835068633i</v>
      </c>
      <c r="BJ405" s="68">
        <f t="shared" si="417"/>
        <v>-1.04939138729385</v>
      </c>
      <c r="BK405" s="31">
        <f t="shared" si="370"/>
        <v>27.5064474656614</v>
      </c>
      <c r="BL405" s="32">
        <f t="shared" si="418"/>
        <v>-6.66650564825136</v>
      </c>
      <c r="BM405" s="31">
        <f t="shared" si="419"/>
        <v>-51.2335822241997</v>
      </c>
      <c r="BO405">
        <f t="shared" si="420"/>
        <v>0</v>
      </c>
      <c r="BP405">
        <f t="shared" si="421"/>
        <v>0</v>
      </c>
    </row>
    <row r="406" spans="14:68">
      <c r="N406" s="7">
        <v>88</v>
      </c>
      <c r="O406" s="18">
        <f t="shared" si="371"/>
        <v>75857.7575029185</v>
      </c>
      <c r="P406" s="86" t="str">
        <f t="shared" si="372"/>
        <v>54,5454545454545</v>
      </c>
      <c r="Q406" s="4" t="str">
        <f t="shared" si="373"/>
        <v>1+970,588634660509i</v>
      </c>
      <c r="R406" s="4">
        <f t="shared" si="384"/>
        <v>970.589149811675</v>
      </c>
      <c r="S406" s="4">
        <f t="shared" si="385"/>
        <v>1.56976602455309</v>
      </c>
      <c r="T406" s="4" t="str">
        <f t="shared" si="374"/>
        <v>1+7,47353248688593i</v>
      </c>
      <c r="U406" s="4">
        <f t="shared" si="386"/>
        <v>7.54013844916255</v>
      </c>
      <c r="V406" s="4">
        <f t="shared" si="387"/>
        <v>1.43778087130321</v>
      </c>
      <c r="W406" t="str">
        <f t="shared" si="375"/>
        <v>1-21,4482756320068i</v>
      </c>
      <c r="X406" s="4">
        <f t="shared" si="388"/>
        <v>21.47157487439</v>
      </c>
      <c r="Y406" s="4">
        <f t="shared" si="389"/>
        <v>-1.52420627135185</v>
      </c>
      <c r="Z406" t="str">
        <f t="shared" si="376"/>
        <v>0,953025311237783+1,48095236506714i</v>
      </c>
      <c r="AA406" s="4">
        <f t="shared" si="390"/>
        <v>1.76110111903259</v>
      </c>
      <c r="AB406" s="4">
        <f t="shared" si="391"/>
        <v>0.998988604486208</v>
      </c>
      <c r="AC406" s="67" t="str">
        <f t="shared" si="392"/>
        <v>-4,56711486867316-2,41503979852637i</v>
      </c>
      <c r="AD406" s="68">
        <f t="shared" si="393"/>
        <v>14.2636412044008</v>
      </c>
      <c r="AE406" s="31">
        <f t="shared" si="394"/>
        <v>-152.130609514162</v>
      </c>
      <c r="AF406" s="32" t="str">
        <f t="shared" si="395"/>
        <v>432,040091031901</v>
      </c>
      <c r="AG406" s="32" t="str">
        <f t="shared" si="377"/>
        <v>1+790,849998612267i</v>
      </c>
      <c r="AH406" s="32">
        <f t="shared" si="396"/>
        <v>790.850630843159</v>
      </c>
      <c r="AI406" s="32">
        <f t="shared" si="397"/>
        <v>1.56953186517917</v>
      </c>
      <c r="AJ406" s="32" t="str">
        <f t="shared" si="378"/>
        <v>1+7,47353248688593i</v>
      </c>
      <c r="AK406" s="32">
        <f t="shared" si="398"/>
        <v>7.54013844916255</v>
      </c>
      <c r="AL406" s="32">
        <f t="shared" si="399"/>
        <v>1.43778087130321</v>
      </c>
      <c r="AM406" s="32" t="str">
        <f t="shared" si="379"/>
        <v>1-2,2063605206193i</v>
      </c>
      <c r="AN406" s="32">
        <f t="shared" si="400"/>
        <v>2.42240102934</v>
      </c>
      <c r="AO406" s="32">
        <f t="shared" si="401"/>
        <v>-1.14525536007118</v>
      </c>
      <c r="AP406" s="30" t="str">
        <f t="shared" si="402"/>
        <v>2,88952416589297-9,55072680005377i</v>
      </c>
      <c r="AQ406" s="32">
        <f t="shared" si="403"/>
        <v>19.9810989236514</v>
      </c>
      <c r="AR406" s="31">
        <f t="shared" si="404"/>
        <v>-73.1670744925604</v>
      </c>
      <c r="AS406" t="str">
        <f t="shared" si="380"/>
        <v>-0,000201496259351621</v>
      </c>
      <c r="AT406" t="str">
        <f t="shared" si="381"/>
        <v>0,107098389655821i</v>
      </c>
      <c r="AU406">
        <f t="shared" si="405"/>
        <v>0.107098389655821</v>
      </c>
      <c r="AV406">
        <f t="shared" si="406"/>
        <v>1.5707963267949</v>
      </c>
      <c r="AW406" t="str">
        <f t="shared" si="382"/>
        <v>1+5,48324111246972i</v>
      </c>
      <c r="AX406">
        <f t="shared" si="407"/>
        <v>5.57368218482882</v>
      </c>
      <c r="AY406">
        <f t="shared" si="408"/>
        <v>1.39040495616861</v>
      </c>
      <c r="AZ406" t="str">
        <f t="shared" si="383"/>
        <v>1+262,145591057861i</v>
      </c>
      <c r="BA406">
        <f t="shared" si="409"/>
        <v>262.147498387979</v>
      </c>
      <c r="BB406">
        <f t="shared" si="410"/>
        <v>1.56698167118529</v>
      </c>
      <c r="BC406" s="30" t="str">
        <f t="shared" si="411"/>
        <v>-0,0155439650465769+0,0871127207905734i</v>
      </c>
      <c r="BD406" s="32">
        <f t="shared" si="412"/>
        <v>-21.0622487247681</v>
      </c>
      <c r="BE406" s="31">
        <f t="shared" si="413"/>
        <v>100.11710053074</v>
      </c>
      <c r="BF406" s="30" t="str">
        <f t="shared" si="414"/>
        <v>0,281371761549508-0,360314508158815i</v>
      </c>
      <c r="BG406" s="68">
        <f t="shared" si="415"/>
        <v>-6.79860752036733</v>
      </c>
      <c r="BH406" s="31">
        <f t="shared" si="416"/>
        <v>-52.0135089834221</v>
      </c>
      <c r="BI406" s="30" t="str">
        <f t="shared" si="369"/>
        <v>0,787075134444251+0,40017047543049i</v>
      </c>
      <c r="BJ406" s="68">
        <f t="shared" si="417"/>
        <v>-1.0811498011168</v>
      </c>
      <c r="BK406" s="31">
        <f t="shared" si="370"/>
        <v>26.9500260381797</v>
      </c>
      <c r="BL406" s="32">
        <f t="shared" si="418"/>
        <v>-6.79860752036733</v>
      </c>
      <c r="BM406" s="31">
        <f t="shared" si="419"/>
        <v>-52.0135089834221</v>
      </c>
      <c r="BO406">
        <f t="shared" si="420"/>
        <v>0</v>
      </c>
      <c r="BP406">
        <f t="shared" si="421"/>
        <v>0</v>
      </c>
    </row>
    <row r="407" spans="14:68">
      <c r="N407" s="7">
        <v>89</v>
      </c>
      <c r="O407" s="18">
        <f t="shared" si="371"/>
        <v>77624.7116628691</v>
      </c>
      <c r="P407" s="86" t="str">
        <f t="shared" si="372"/>
        <v>54,5454545454545</v>
      </c>
      <c r="Q407" s="4" t="str">
        <f t="shared" si="373"/>
        <v>1+993,196548235443i</v>
      </c>
      <c r="R407" s="4">
        <f t="shared" si="384"/>
        <v>993.197051660343</v>
      </c>
      <c r="S407" s="4">
        <f t="shared" si="385"/>
        <v>1.56978947707934</v>
      </c>
      <c r="T407" s="4" t="str">
        <f t="shared" si="374"/>
        <v>1+7,64761342141292i</v>
      </c>
      <c r="U407" s="4">
        <f t="shared" si="386"/>
        <v>7.71271619102992</v>
      </c>
      <c r="V407" s="4">
        <f t="shared" si="387"/>
        <v>1.44077427428592</v>
      </c>
      <c r="W407" t="str">
        <f t="shared" si="375"/>
        <v>1-21,9478701507386i</v>
      </c>
      <c r="X407" s="4">
        <f t="shared" si="388"/>
        <v>21.9706395936414</v>
      </c>
      <c r="Y407" s="4">
        <f t="shared" si="389"/>
        <v>-1.52526530838313</v>
      </c>
      <c r="Z407" t="str">
        <f t="shared" si="376"/>
        <v>0,950811462361277+1,51544817707481i</v>
      </c>
      <c r="AA407" s="4">
        <f t="shared" si="390"/>
        <v>1.7890292379827</v>
      </c>
      <c r="AB407" s="4">
        <f t="shared" si="391"/>
        <v>1.01046390306053</v>
      </c>
      <c r="AC407" s="67" t="str">
        <f t="shared" si="392"/>
        <v>-4,62154045750247-2,38754045477636i</v>
      </c>
      <c r="AD407" s="68">
        <f t="shared" si="393"/>
        <v>14.3231151190822</v>
      </c>
      <c r="AE407" s="31">
        <f t="shared" si="394"/>
        <v>-152.678608416845</v>
      </c>
      <c r="AF407" s="32" t="str">
        <f t="shared" si="395"/>
        <v>432,040091031901</v>
      </c>
      <c r="AG407" s="32" t="str">
        <f t="shared" si="377"/>
        <v>1+809,271261525175i</v>
      </c>
      <c r="AH407" s="32">
        <f t="shared" si="396"/>
        <v>809.271879364746</v>
      </c>
      <c r="AI407" s="32">
        <f t="shared" si="397"/>
        <v>1.56956064780989</v>
      </c>
      <c r="AJ407" s="32" t="str">
        <f t="shared" si="378"/>
        <v>1+7,64761342141292i</v>
      </c>
      <c r="AK407" s="32">
        <f t="shared" si="398"/>
        <v>7.71271619102992</v>
      </c>
      <c r="AL407" s="32">
        <f t="shared" si="399"/>
        <v>1.44077427428592</v>
      </c>
      <c r="AM407" s="32" t="str">
        <f t="shared" si="379"/>
        <v>1-2,25775325919464i</v>
      </c>
      <c r="AN407" s="32">
        <f t="shared" si="400"/>
        <v>2.46930147600572</v>
      </c>
      <c r="AO407" s="32">
        <f t="shared" si="401"/>
        <v>-1.15384721519949</v>
      </c>
      <c r="AP407" s="30" t="str">
        <f t="shared" si="402"/>
        <v>2,88949328393333-9,74819992324356i</v>
      </c>
      <c r="AQ407" s="32">
        <f t="shared" si="403"/>
        <v>20.1442213169058</v>
      </c>
      <c r="AR407" s="31">
        <f t="shared" si="404"/>
        <v>-73.4894912955731</v>
      </c>
      <c r="AS407" t="str">
        <f t="shared" si="380"/>
        <v>-0,000201496259351621</v>
      </c>
      <c r="AT407" t="str">
        <f t="shared" si="381"/>
        <v>0,109593031619355i</v>
      </c>
      <c r="AU407">
        <f t="shared" si="405"/>
        <v>0.109593031619355</v>
      </c>
      <c r="AV407">
        <f t="shared" si="406"/>
        <v>1.5707963267949</v>
      </c>
      <c r="AW407" t="str">
        <f t="shared" si="382"/>
        <v>1+5,61096220537599i</v>
      </c>
      <c r="AX407">
        <f t="shared" si="407"/>
        <v>5.69937688437585</v>
      </c>
      <c r="AY407">
        <f t="shared" si="408"/>
        <v>1.39442558718181</v>
      </c>
      <c r="AZ407" t="str">
        <f t="shared" si="383"/>
        <v>1+268,251746286805i</v>
      </c>
      <c r="BA407">
        <f t="shared" si="409"/>
        <v>268.253610201094</v>
      </c>
      <c r="BB407">
        <f t="shared" si="410"/>
        <v>1.56706850253424</v>
      </c>
      <c r="BC407" s="30" t="str">
        <f t="shared" si="411"/>
        <v>-0,0148659086699293+0,0852506381127124i</v>
      </c>
      <c r="BD407" s="32">
        <f t="shared" si="412"/>
        <v>-21.2559550756365</v>
      </c>
      <c r="BE407" s="31">
        <f t="shared" si="413"/>
        <v>99.8917104125288</v>
      </c>
      <c r="BF407" s="30" t="str">
        <f t="shared" si="414"/>
        <v>0,272242745645215-0,358496314719336i</v>
      </c>
      <c r="BG407" s="68">
        <f t="shared" si="415"/>
        <v>-6.93283995655426</v>
      </c>
      <c r="BH407" s="31">
        <f t="shared" si="416"/>
        <v>-52.7868980043167</v>
      </c>
      <c r="BI407" s="30" t="str">
        <f t="shared" si="369"/>
        <v>0,788085320645481+0,391246996032864i</v>
      </c>
      <c r="BJ407" s="68">
        <f t="shared" si="417"/>
        <v>-1.11173375873063</v>
      </c>
      <c r="BK407" s="31">
        <f t="shared" si="370"/>
        <v>26.4022191169557</v>
      </c>
      <c r="BL407" s="32">
        <f t="shared" si="418"/>
        <v>-6.93283995655426</v>
      </c>
      <c r="BM407" s="31">
        <f t="shared" si="419"/>
        <v>-52.7868980043167</v>
      </c>
      <c r="BO407">
        <f t="shared" si="420"/>
        <v>0</v>
      </c>
      <c r="BP407">
        <f t="shared" si="421"/>
        <v>0</v>
      </c>
    </row>
    <row r="408" spans="14:68">
      <c r="N408" s="7">
        <v>90</v>
      </c>
      <c r="O408" s="18">
        <f t="shared" si="371"/>
        <v>79432.8234724282</v>
      </c>
      <c r="P408" s="86" t="str">
        <f t="shared" si="372"/>
        <v>54,5454545454545</v>
      </c>
      <c r="Q408" s="4" t="str">
        <f t="shared" si="373"/>
        <v>1+1016,33106776676i</v>
      </c>
      <c r="R408" s="4">
        <f t="shared" si="384"/>
        <v>1016.33155973232</v>
      </c>
      <c r="S408" s="4">
        <f t="shared" si="385"/>
        <v>1.56981239576198</v>
      </c>
      <c r="T408" s="4" t="str">
        <f t="shared" si="374"/>
        <v>1+7,8257492218041i</v>
      </c>
      <c r="U408" s="4">
        <f t="shared" si="386"/>
        <v>7.88938216101663</v>
      </c>
      <c r="V408" s="4">
        <f t="shared" si="387"/>
        <v>1.44370180516998</v>
      </c>
      <c r="W408" t="str">
        <f t="shared" si="375"/>
        <v>1-22,4591017207388i</v>
      </c>
      <c r="X408" s="4">
        <f t="shared" si="388"/>
        <v>22.4813533868069</v>
      </c>
      <c r="Y408" s="4">
        <f t="shared" si="389"/>
        <v>-1.52630033755427</v>
      </c>
      <c r="Z408" t="str">
        <f t="shared" si="376"/>
        <v>0,948493278001617+1,5507474997653i</v>
      </c>
      <c r="AA408" s="4">
        <f t="shared" si="390"/>
        <v>1.8178166316883</v>
      </c>
      <c r="AB408" s="4">
        <f t="shared" si="391"/>
        <v>1.02186471579196</v>
      </c>
      <c r="AC408" s="67" t="str">
        <f t="shared" si="392"/>
        <v>-4,6750155644084-2,35899042427535i</v>
      </c>
      <c r="AD408" s="68">
        <f t="shared" si="393"/>
        <v>14.3807705407262</v>
      </c>
      <c r="AE408" s="31">
        <f t="shared" si="394"/>
        <v>-153.224707652291</v>
      </c>
      <c r="AF408" s="32" t="str">
        <f t="shared" si="395"/>
        <v>432,040091031901</v>
      </c>
      <c r="AG408" s="32" t="str">
        <f t="shared" si="377"/>
        <v>1+828,121610772919i</v>
      </c>
      <c r="AH408" s="32">
        <f t="shared" si="396"/>
        <v>828.122214548755</v>
      </c>
      <c r="AI408" s="32">
        <f t="shared" si="397"/>
        <v>1.56958877526994</v>
      </c>
      <c r="AJ408" s="32" t="str">
        <f t="shared" si="378"/>
        <v>1+7,8257492218041i</v>
      </c>
      <c r="AK408" s="32">
        <f t="shared" si="398"/>
        <v>7.88938216101663</v>
      </c>
      <c r="AL408" s="32">
        <f t="shared" si="399"/>
        <v>1.44370180516998</v>
      </c>
      <c r="AM408" s="32" t="str">
        <f t="shared" si="379"/>
        <v>1-2,31034308843292i</v>
      </c>
      <c r="AN408" s="32">
        <f t="shared" si="400"/>
        <v>2.51747595545017</v>
      </c>
      <c r="AO408" s="32">
        <f t="shared" si="401"/>
        <v>-1.16230715930785</v>
      </c>
      <c r="AP408" s="30" t="str">
        <f t="shared" si="402"/>
        <v>2,88946379188667-9,9508416676295i</v>
      </c>
      <c r="AQ408" s="32">
        <f t="shared" si="403"/>
        <v>20.3087587821759</v>
      </c>
      <c r="AR408" s="31">
        <f t="shared" si="404"/>
        <v>-73.8080868085968</v>
      </c>
      <c r="AS408" t="str">
        <f t="shared" si="380"/>
        <v>-0,000201496259351621</v>
      </c>
      <c r="AT408" t="str">
        <f t="shared" si="381"/>
        <v>0,112145781258889i</v>
      </c>
      <c r="AU408">
        <f t="shared" si="405"/>
        <v>0.112145781258889</v>
      </c>
      <c r="AV408">
        <f t="shared" si="406"/>
        <v>1.5707963267949</v>
      </c>
      <c r="AW408" t="str">
        <f t="shared" si="382"/>
        <v>1+5,74165830471343i</v>
      </c>
      <c r="AX408">
        <f t="shared" si="407"/>
        <v>5.82809060397011</v>
      </c>
      <c r="AY408">
        <f t="shared" si="408"/>
        <v>1.39836027313941</v>
      </c>
      <c r="AZ408" t="str">
        <f t="shared" si="383"/>
        <v>1+274,500132142363i</v>
      </c>
      <c r="BA408">
        <f t="shared" si="409"/>
        <v>274.501953629068</v>
      </c>
      <c r="BB408">
        <f t="shared" si="410"/>
        <v>1.5671533574147</v>
      </c>
      <c r="BC408" s="30" t="str">
        <f t="shared" si="411"/>
        <v>-0,0142165306004432+0,0834231960670479i</v>
      </c>
      <c r="BD408" s="32">
        <f t="shared" si="412"/>
        <v>-21.4499361536351</v>
      </c>
      <c r="BE408" s="31">
        <f t="shared" si="413"/>
        <v>99.6711313399704</v>
      </c>
      <c r="BF408" s="30" t="str">
        <f t="shared" si="414"/>
        <v>0,263257022513571-0,35646808049328i</v>
      </c>
      <c r="BG408" s="68">
        <f t="shared" si="415"/>
        <v>-7.06916561290896</v>
      </c>
      <c r="BH408" s="31">
        <f t="shared" si="416"/>
        <v>-53.5535763123202</v>
      </c>
      <c r="BI408" s="30" t="str">
        <f t="shared" si="369"/>
        <v>0,789052865054576+0,382514749507217i</v>
      </c>
      <c r="BJ408" s="68">
        <f t="shared" si="417"/>
        <v>-1.14117737145929</v>
      </c>
      <c r="BK408" s="31">
        <f t="shared" si="370"/>
        <v>25.8630445313736</v>
      </c>
      <c r="BL408" s="32">
        <f t="shared" si="418"/>
        <v>-7.06916561290896</v>
      </c>
      <c r="BM408" s="31">
        <f t="shared" si="419"/>
        <v>-53.5535763123202</v>
      </c>
      <c r="BO408">
        <f t="shared" si="420"/>
        <v>0</v>
      </c>
      <c r="BP408">
        <f t="shared" si="421"/>
        <v>0</v>
      </c>
    </row>
    <row r="409" spans="14:68">
      <c r="N409" s="7">
        <v>91</v>
      </c>
      <c r="O409" s="18">
        <f t="shared" si="371"/>
        <v>81283.05161641</v>
      </c>
      <c r="P409" s="86" t="str">
        <f t="shared" si="372"/>
        <v>54,5454545454545</v>
      </c>
      <c r="Q409" s="4" t="str">
        <f t="shared" si="373"/>
        <v>1+1040,00445948295i</v>
      </c>
      <c r="R409" s="4">
        <f t="shared" si="384"/>
        <v>1040.00494025001</v>
      </c>
      <c r="S409" s="4">
        <f t="shared" si="385"/>
        <v>1.56983479275271</v>
      </c>
      <c r="T409" s="4" t="str">
        <f t="shared" si="374"/>
        <v>1+8,00803433801869i</v>
      </c>
      <c r="U409" s="4">
        <f t="shared" si="386"/>
        <v>8.07023010569627</v>
      </c>
      <c r="V409" s="4">
        <f t="shared" si="387"/>
        <v>1.44656481534257</v>
      </c>
      <c r="W409" t="str">
        <f t="shared" si="375"/>
        <v>1-22,9822414037526i</v>
      </c>
      <c r="X409" s="4">
        <f t="shared" si="388"/>
        <v>23.0039870444312</v>
      </c>
      <c r="Y409" s="4">
        <f t="shared" si="389"/>
        <v>-1.52731189877588</v>
      </c>
      <c r="Z409" t="str">
        <f t="shared" si="376"/>
        <v>0,946065840978972+1,58686904930673i</v>
      </c>
      <c r="AA409" s="4">
        <f t="shared" si="390"/>
        <v>1.84748314068489</v>
      </c>
      <c r="AB409" s="4">
        <f t="shared" si="391"/>
        <v>1.03318747800593</v>
      </c>
      <c r="AC409" s="67" t="str">
        <f t="shared" si="392"/>
        <v>-4,72750772908239-2,32943533153253i</v>
      </c>
      <c r="AD409" s="68">
        <f t="shared" si="393"/>
        <v>14.4366342250965</v>
      </c>
      <c r="AE409" s="31">
        <f t="shared" si="394"/>
        <v>-153.768657181749</v>
      </c>
      <c r="AF409" s="32" t="str">
        <f t="shared" si="395"/>
        <v>432,040091031901</v>
      </c>
      <c r="AG409" s="32" t="str">
        <f t="shared" si="377"/>
        <v>1+847,411041060178i</v>
      </c>
      <c r="AH409" s="32">
        <f t="shared" si="396"/>
        <v>847.411631092408</v>
      </c>
      <c r="AI409" s="32">
        <f t="shared" si="397"/>
        <v>1.56961626247267</v>
      </c>
      <c r="AJ409" s="32" t="str">
        <f t="shared" si="378"/>
        <v>1+8,00803433801869i</v>
      </c>
      <c r="AK409" s="32">
        <f t="shared" si="398"/>
        <v>8.07023010569627</v>
      </c>
      <c r="AL409" s="32">
        <f t="shared" si="399"/>
        <v>1.44656481534257</v>
      </c>
      <c r="AM409" s="32" t="str">
        <f t="shared" si="379"/>
        <v>1-2,36415789215768i</v>
      </c>
      <c r="AN409" s="32">
        <f t="shared" si="400"/>
        <v>2.56695199391252</v>
      </c>
      <c r="AO409" s="32">
        <f t="shared" si="401"/>
        <v>-1.17063483305223</v>
      </c>
      <c r="AP409" s="30" t="str">
        <f t="shared" si="402"/>
        <v>2,88943562719699-10,158759476776i</v>
      </c>
      <c r="AQ409" s="32">
        <f t="shared" si="403"/>
        <v>20.4746658594212</v>
      </c>
      <c r="AR409" s="31">
        <f t="shared" si="404"/>
        <v>-74.1227638684266</v>
      </c>
      <c r="AS409" t="str">
        <f t="shared" si="380"/>
        <v>-0,000201496259351621</v>
      </c>
      <c r="AT409" t="str">
        <f t="shared" si="381"/>
        <v>0,114757992076071i</v>
      </c>
      <c r="AU409">
        <f t="shared" si="405"/>
        <v>0.114757992076071</v>
      </c>
      <c r="AV409">
        <f t="shared" si="406"/>
        <v>1.5707963267949</v>
      </c>
      <c r="AW409" t="str">
        <f t="shared" si="382"/>
        <v>1+5,87539870728384i</v>
      </c>
      <c r="AX409">
        <f t="shared" si="407"/>
        <v>5.95989177498658</v>
      </c>
      <c r="AY409">
        <f t="shared" si="408"/>
        <v>1.40221061269506</v>
      </c>
      <c r="AZ409" t="str">
        <f t="shared" si="383"/>
        <v>1+280,894061601421i</v>
      </c>
      <c r="BA409">
        <f t="shared" si="409"/>
        <v>280.895841626292</v>
      </c>
      <c r="BB409">
        <f t="shared" si="410"/>
        <v>1.56723628081296</v>
      </c>
      <c r="BC409" s="30" t="str">
        <f t="shared" si="411"/>
        <v>-0,0135946949398928+0,0816300894729195i</v>
      </c>
      <c r="BD409" s="32">
        <f t="shared" si="412"/>
        <v>-21.6441803232566</v>
      </c>
      <c r="BE409" s="31">
        <f t="shared" si="413"/>
        <v>99.4552742944823</v>
      </c>
      <c r="BF409" s="30" t="str">
        <f t="shared" si="414"/>
        <v>0,254421039937241-0,354238916194521i</v>
      </c>
      <c r="BG409" s="68">
        <f t="shared" si="415"/>
        <v>-7.20754609816011</v>
      </c>
      <c r="BH409" s="31">
        <f t="shared" si="416"/>
        <v>-54.3133828872669</v>
      </c>
      <c r="BI409" s="30" t="str">
        <f t="shared" si="369"/>
        <v>0,789979449122893+0,373970124828846i</v>
      </c>
      <c r="BJ409" s="68">
        <f t="shared" si="417"/>
        <v>-1.16951446383545</v>
      </c>
      <c r="BK409" s="31">
        <f t="shared" si="370"/>
        <v>25.3325104260558</v>
      </c>
      <c r="BL409" s="32">
        <f t="shared" si="418"/>
        <v>-7.20754609816011</v>
      </c>
      <c r="BM409" s="31">
        <f t="shared" si="419"/>
        <v>-54.3133828872669</v>
      </c>
      <c r="BO409">
        <f t="shared" si="420"/>
        <v>0</v>
      </c>
      <c r="BP409">
        <f t="shared" si="421"/>
        <v>0</v>
      </c>
    </row>
    <row r="410" spans="14:68">
      <c r="N410" s="7">
        <v>92</v>
      </c>
      <c r="O410" s="18">
        <f t="shared" si="371"/>
        <v>83176.3771102672</v>
      </c>
      <c r="P410" s="86" t="str">
        <f t="shared" si="372"/>
        <v>54,5454545454545</v>
      </c>
      <c r="Q410" s="4" t="str">
        <f t="shared" si="373"/>
        <v>1+1064,22927532963i</v>
      </c>
      <c r="R410" s="4">
        <f t="shared" si="384"/>
        <v>1064.2297451531</v>
      </c>
      <c r="S410" s="4">
        <f t="shared" si="385"/>
        <v>1.56985667992662</v>
      </c>
      <c r="T410" s="4" t="str">
        <f t="shared" si="374"/>
        <v>1+8,19456542003818i</v>
      </c>
      <c r="U410" s="4">
        <f t="shared" si="386"/>
        <v>8.25535598404366</v>
      </c>
      <c r="V410" s="4">
        <f t="shared" si="387"/>
        <v>1.44936463496862</v>
      </c>
      <c r="W410" t="str">
        <f t="shared" si="375"/>
        <v>1-23,5175665753647i</v>
      </c>
      <c r="X410" s="4">
        <f t="shared" si="388"/>
        <v>23.5388176769079</v>
      </c>
      <c r="Y410" s="4">
        <f t="shared" si="389"/>
        <v>-1.52830052010572</v>
      </c>
      <c r="Z410" t="str">
        <f t="shared" si="376"/>
        <v>0,943524002373964+1,6238319778228i</v>
      </c>
      <c r="AA410" s="4">
        <f t="shared" si="390"/>
        <v>1.87804894378599</v>
      </c>
      <c r="AB410" s="4">
        <f t="shared" si="391"/>
        <v>1.04442884120883</v>
      </c>
      <c r="AC410" s="67" t="str">
        <f t="shared" si="392"/>
        <v>-4,77898760379305-2,29892163396363i</v>
      </c>
      <c r="AD410" s="68">
        <f t="shared" si="393"/>
        <v>14.4907343249446</v>
      </c>
      <c r="AE410" s="31">
        <f t="shared" si="394"/>
        <v>-154.310219873705</v>
      </c>
      <c r="AF410" s="32" t="str">
        <f t="shared" si="395"/>
        <v>432,040091031901</v>
      </c>
      <c r="AG410" s="32" t="str">
        <f t="shared" si="377"/>
        <v>1+867,149779898219i</v>
      </c>
      <c r="AH410" s="32">
        <f t="shared" si="396"/>
        <v>867.150356499684</v>
      </c>
      <c r="AI410" s="32">
        <f t="shared" si="397"/>
        <v>1.569643123992</v>
      </c>
      <c r="AJ410" s="32" t="str">
        <f t="shared" si="378"/>
        <v>1+8,19456542003818i</v>
      </c>
      <c r="AK410" s="32">
        <f t="shared" si="398"/>
        <v>8.25535598404366</v>
      </c>
      <c r="AL410" s="32">
        <f t="shared" si="399"/>
        <v>1.44936463496862</v>
      </c>
      <c r="AM410" s="32" t="str">
        <f t="shared" si="379"/>
        <v>1-2,41922620369019i</v>
      </c>
      <c r="AN410" s="32">
        <f t="shared" si="400"/>
        <v>2.61775770930414</v>
      </c>
      <c r="AO410" s="32">
        <f t="shared" si="401"/>
        <v>-1.17883003062071</v>
      </c>
      <c r="AP410" s="30" t="str">
        <f t="shared" si="402"/>
        <v>2,8894087301237-10,3720635916716i</v>
      </c>
      <c r="AQ410" s="32">
        <f t="shared" si="403"/>
        <v>20.6418978933822</v>
      </c>
      <c r="AR410" s="31">
        <f t="shared" si="404"/>
        <v>-74.4334353050945</v>
      </c>
      <c r="AS410" t="str">
        <f t="shared" si="380"/>
        <v>-0,000201496259351621</v>
      </c>
      <c r="AT410" t="str">
        <f t="shared" si="381"/>
        <v>0,117431049099654i</v>
      </c>
      <c r="AU410">
        <f t="shared" si="405"/>
        <v>0.117431049099654</v>
      </c>
      <c r="AV410">
        <f t="shared" si="406"/>
        <v>1.5707963267949</v>
      </c>
      <c r="AW410" t="str">
        <f t="shared" si="382"/>
        <v>1+6,01225432401895i</v>
      </c>
      <c r="AX410">
        <f t="shared" si="407"/>
        <v>6.09485045400497</v>
      </c>
      <c r="AY410">
        <f t="shared" si="408"/>
        <v>1.40597819046749</v>
      </c>
      <c r="AZ410" t="str">
        <f t="shared" si="383"/>
        <v>1+287,436924810012i</v>
      </c>
      <c r="BA410">
        <f t="shared" si="409"/>
        <v>287.438664316818</v>
      </c>
      <c r="BB410">
        <f t="shared" si="410"/>
        <v>1.56731731669154</v>
      </c>
      <c r="BC410" s="30" t="str">
        <f t="shared" si="411"/>
        <v>-0,012999304159426+0,0798709913229556i</v>
      </c>
      <c r="BD410" s="32">
        <f t="shared" si="412"/>
        <v>-21.8386764112254</v>
      </c>
      <c r="BE410" s="31">
        <f t="shared" si="413"/>
        <v>99.2440510029663</v>
      </c>
      <c r="BF410" s="30" t="str">
        <f t="shared" si="414"/>
        <v>0,245740663314296-0,351818095876489i</v>
      </c>
      <c r="BG410" s="68">
        <f t="shared" si="415"/>
        <v>-7.34794208628077</v>
      </c>
      <c r="BH410" s="31">
        <f t="shared" si="416"/>
        <v>-55.066168870739</v>
      </c>
      <c r="BI410" s="30" t="str">
        <f t="shared" si="369"/>
        <v>0,790866698207767+0,36560954900123i</v>
      </c>
      <c r="BJ410" s="68">
        <f t="shared" si="417"/>
        <v>-1.19677851784319</v>
      </c>
      <c r="BK410" s="31">
        <f t="shared" si="370"/>
        <v>24.8106156978718</v>
      </c>
      <c r="BL410" s="32">
        <f t="shared" si="418"/>
        <v>-7.34794208628077</v>
      </c>
      <c r="BM410" s="31">
        <f t="shared" si="419"/>
        <v>-55.066168870739</v>
      </c>
      <c r="BO410">
        <f t="shared" si="420"/>
        <v>0</v>
      </c>
      <c r="BP410">
        <f t="shared" si="421"/>
        <v>0</v>
      </c>
    </row>
    <row r="411" spans="14:68">
      <c r="N411" s="7">
        <v>93</v>
      </c>
      <c r="O411" s="18">
        <f t="shared" si="371"/>
        <v>85113.8038202377</v>
      </c>
      <c r="P411" s="86" t="str">
        <f t="shared" si="372"/>
        <v>54,5454545454545</v>
      </c>
      <c r="Q411" s="4" t="str">
        <f t="shared" si="373"/>
        <v>1+1089,01835962484i</v>
      </c>
      <c r="R411" s="4">
        <f t="shared" si="384"/>
        <v>1089.01881875383</v>
      </c>
      <c r="S411" s="4">
        <f t="shared" si="385"/>
        <v>1.5698780688885</v>
      </c>
      <c r="T411" s="4" t="str">
        <f t="shared" si="374"/>
        <v>1+8,38544136911126i</v>
      </c>
      <c r="U411" s="4">
        <f t="shared" si="386"/>
        <v>8.444858018629</v>
      </c>
      <c r="V411" s="4">
        <f t="shared" si="387"/>
        <v>1.45210257287351</v>
      </c>
      <c r="W411" t="str">
        <f t="shared" si="375"/>
        <v>1-24,0653610720668i</v>
      </c>
      <c r="X411" s="4">
        <f t="shared" si="388"/>
        <v>24.0861288614204</v>
      </c>
      <c r="Y411" s="4">
        <f t="shared" si="389"/>
        <v>-1.52926671798948</v>
      </c>
      <c r="Z411" t="str">
        <f t="shared" si="376"/>
        <v>0,940862370606123+1,66165588354747i</v>
      </c>
      <c r="AA411" s="4">
        <f t="shared" si="390"/>
        <v>1.90953457045179</v>
      </c>
      <c r="AB411" s="4">
        <f t="shared" si="391"/>
        <v>1.05558567647267</v>
      </c>
      <c r="AC411" s="67" t="str">
        <f t="shared" si="392"/>
        <v>-4,82942894658705-2,26749639246987i</v>
      </c>
      <c r="AD411" s="68">
        <f t="shared" si="393"/>
        <v>14.543100261622</v>
      </c>
      <c r="AE411" s="31">
        <f t="shared" si="394"/>
        <v>-154.849171718685</v>
      </c>
      <c r="AF411" s="32" t="str">
        <f t="shared" si="395"/>
        <v>432,040091031901</v>
      </c>
      <c r="AG411" s="32" t="str">
        <f t="shared" si="377"/>
        <v>1+887,348293027645i</v>
      </c>
      <c r="AH411" s="32">
        <f t="shared" si="396"/>
        <v>887.348856504067</v>
      </c>
      <c r="AI411" s="32">
        <f t="shared" si="397"/>
        <v>1.56966937407011</v>
      </c>
      <c r="AJ411" s="32" t="str">
        <f t="shared" si="378"/>
        <v>1+8,38544136911126i</v>
      </c>
      <c r="AK411" s="32">
        <f t="shared" si="398"/>
        <v>8.444858018629</v>
      </c>
      <c r="AL411" s="32">
        <f t="shared" si="399"/>
        <v>1.45210257287351</v>
      </c>
      <c r="AM411" s="32" t="str">
        <f t="shared" si="379"/>
        <v>1-2,47557722097814i</v>
      </c>
      <c r="AN411" s="32">
        <f t="shared" si="400"/>
        <v>2.66992182975941</v>
      </c>
      <c r="AO411" s="32">
        <f t="shared" si="401"/>
        <v>-1.18689269296672</v>
      </c>
      <c r="AP411" s="30" t="str">
        <f t="shared" si="402"/>
        <v>2,88938304361499-10,5908671091811i</v>
      </c>
      <c r="AQ411" s="32">
        <f t="shared" si="403"/>
        <v>20.8104110689135</v>
      </c>
      <c r="AR411" s="31">
        <f t="shared" si="404"/>
        <v>-74.7400235613289</v>
      </c>
      <c r="AS411" t="str">
        <f t="shared" si="380"/>
        <v>-0,000201496259351621</v>
      </c>
      <c r="AT411" t="str">
        <f t="shared" si="381"/>
        <v>0,120166369619853i</v>
      </c>
      <c r="AU411">
        <f t="shared" si="405"/>
        <v>0.120166369619853</v>
      </c>
      <c r="AV411">
        <f t="shared" si="406"/>
        <v>1.5707963267949</v>
      </c>
      <c r="AW411" t="str">
        <f t="shared" si="382"/>
        <v>1+6,15229771757826i</v>
      </c>
      <c r="AX411">
        <f t="shared" si="407"/>
        <v>6.23303836068082</v>
      </c>
      <c r="AY411">
        <f t="shared" si="408"/>
        <v>1.40966457602555</v>
      </c>
      <c r="AZ411" t="str">
        <f t="shared" si="383"/>
        <v>1+294,132190880815i</v>
      </c>
      <c r="BA411">
        <f t="shared" si="409"/>
        <v>294.133890791844</v>
      </c>
      <c r="BB411">
        <f t="shared" si="410"/>
        <v>1.56739650801246</v>
      </c>
      <c r="BC411" s="30" t="str">
        <f t="shared" si="411"/>
        <v>-0,0124292983881003+0,0781455548457583i</v>
      </c>
      <c r="BD411" s="32">
        <f t="shared" si="412"/>
        <v>-22.0334136907629</v>
      </c>
      <c r="BE411" s="31">
        <f t="shared" si="413"/>
        <v>99.0373739972947</v>
      </c>
      <c r="BF411" s="30" t="str">
        <f t="shared" si="414"/>
        <v>0,237221177121573-0,349215015363262i</v>
      </c>
      <c r="BG411" s="68">
        <f t="shared" si="415"/>
        <v>-7.49031342914093</v>
      </c>
      <c r="BH411" s="31">
        <f t="shared" si="416"/>
        <v>-55.8117977213903</v>
      </c>
      <c r="BI411" s="30" t="str">
        <f t="shared" si="369"/>
        <v>0,791716182538041+0,357429488593948i</v>
      </c>
      <c r="BJ411" s="68">
        <f t="shared" si="417"/>
        <v>-1.22300262184945</v>
      </c>
      <c r="BK411" s="31">
        <f t="shared" si="370"/>
        <v>24.2973504359658</v>
      </c>
      <c r="BL411" s="32">
        <f t="shared" si="418"/>
        <v>-7.49031342914093</v>
      </c>
      <c r="BM411" s="31">
        <f t="shared" si="419"/>
        <v>-55.8117977213903</v>
      </c>
      <c r="BO411">
        <f t="shared" si="420"/>
        <v>0</v>
      </c>
      <c r="BP411">
        <f t="shared" si="421"/>
        <v>0</v>
      </c>
    </row>
    <row r="412" spans="14:68">
      <c r="N412" s="7">
        <v>94</v>
      </c>
      <c r="O412" s="18">
        <f t="shared" si="371"/>
        <v>87096.3589956081</v>
      </c>
      <c r="P412" s="86" t="str">
        <f t="shared" si="372"/>
        <v>54,5454545454545</v>
      </c>
      <c r="Q412" s="4" t="str">
        <f t="shared" si="373"/>
        <v>1+1114,38485586918i</v>
      </c>
      <c r="R412" s="4">
        <f t="shared" si="384"/>
        <v>1114.38530454712</v>
      </c>
      <c r="S412" s="4">
        <f t="shared" si="385"/>
        <v>1.56989897097898</v>
      </c>
      <c r="T412" s="4" t="str">
        <f t="shared" si="374"/>
        <v>1+8,58076339019268i</v>
      </c>
      <c r="U412" s="4">
        <f t="shared" si="386"/>
        <v>8.63883674799281</v>
      </c>
      <c r="V412" s="4">
        <f t="shared" si="387"/>
        <v>1.45477991646466</v>
      </c>
      <c r="W412" t="str">
        <f t="shared" si="375"/>
        <v>1-24,625915341752i</v>
      </c>
      <c r="X412" s="4">
        <f t="shared" si="388"/>
        <v>24.6462107923132</v>
      </c>
      <c r="Y412" s="4">
        <f t="shared" si="389"/>
        <v>-1.5302109974981</v>
      </c>
      <c r="Z412" t="str">
        <f t="shared" si="376"/>
        <v>0,938075299997617+1,70036082121621i</v>
      </c>
      <c r="AA412" s="4">
        <f t="shared" si="390"/>
        <v>1.94196091381693</v>
      </c>
      <c r="AB412" s="4">
        <f t="shared" si="391"/>
        <v>1.06665507687851</v>
      </c>
      <c r="AC412" s="67" t="str">
        <f t="shared" si="392"/>
        <v>-4,87880859639272-2,23520704836422i</v>
      </c>
      <c r="AD412" s="68">
        <f t="shared" si="393"/>
        <v>14.5937625976063</v>
      </c>
      <c r="AE412" s="31">
        <f t="shared" si="394"/>
        <v>-155.385301987693</v>
      </c>
      <c r="AF412" s="32" t="str">
        <f t="shared" si="395"/>
        <v>432,040091031901</v>
      </c>
      <c r="AG412" s="32" t="str">
        <f t="shared" si="377"/>
        <v>1+908,017289967478i</v>
      </c>
      <c r="AH412" s="32">
        <f t="shared" si="396"/>
        <v>908.017840617619</v>
      </c>
      <c r="AI412" s="32">
        <f t="shared" si="397"/>
        <v>1.569695026625</v>
      </c>
      <c r="AJ412" s="32" t="str">
        <f t="shared" si="378"/>
        <v>1+8,58076339019268i</v>
      </c>
      <c r="AK412" s="32">
        <f t="shared" si="398"/>
        <v>8.63883674799281</v>
      </c>
      <c r="AL412" s="32">
        <f t="shared" si="399"/>
        <v>1.45477991646466</v>
      </c>
      <c r="AM412" s="32" t="str">
        <f t="shared" si="379"/>
        <v>1-2,53324082207679i</v>
      </c>
      <c r="AN412" s="32">
        <f t="shared" si="400"/>
        <v>2.72347371249224</v>
      </c>
      <c r="AO412" s="32">
        <f t="shared" si="401"/>
        <v>-1.19482290097009</v>
      </c>
      <c r="AP412" s="30" t="str">
        <f t="shared" si="402"/>
        <v>2,88935851318673-10,8152860420123i</v>
      </c>
      <c r="AQ412" s="32">
        <f t="shared" si="403"/>
        <v>20.9801624420253</v>
      </c>
      <c r="AR412" s="31">
        <f t="shared" si="404"/>
        <v>-75.0424603056321</v>
      </c>
      <c r="AS412" t="str">
        <f t="shared" si="380"/>
        <v>-0,000201496259351621</v>
      </c>
      <c r="AT412" t="str">
        <f t="shared" si="381"/>
        <v>0,122965403939815i</v>
      </c>
      <c r="AU412">
        <f t="shared" si="405"/>
        <v>0.122965403939815</v>
      </c>
      <c r="AV412">
        <f t="shared" si="406"/>
        <v>1.5707963267949</v>
      </c>
      <c r="AW412" t="str">
        <f t="shared" si="382"/>
        <v>1+6,2956031408227i</v>
      </c>
      <c r="AX412">
        <f t="shared" si="407"/>
        <v>6.37452891645623</v>
      </c>
      <c r="AY412">
        <f t="shared" si="408"/>
        <v>1.4132713229694</v>
      </c>
      <c r="AZ412" t="str">
        <f t="shared" si="383"/>
        <v>1+300,983409732523i</v>
      </c>
      <c r="BA412">
        <f t="shared" si="409"/>
        <v>300.985070949069</v>
      </c>
      <c r="BB412">
        <f t="shared" si="410"/>
        <v>1.56747389676006</v>
      </c>
      <c r="BC412" s="30" t="str">
        <f t="shared" si="411"/>
        <v>-0,0118836546570009+0,0764534154522079i</v>
      </c>
      <c r="BD412" s="32">
        <f t="shared" si="412"/>
        <v>-22.2283818661578</v>
      </c>
      <c r="BE412" s="31">
        <f t="shared" si="413"/>
        <v>98.8351566682596</v>
      </c>
      <c r="BF412" s="30" t="str">
        <f t="shared" si="414"/>
        <v>0,228867289587431-0,346439151882161i</v>
      </c>
      <c r="BG412" s="68">
        <f t="shared" si="415"/>
        <v>-7.63461926855157</v>
      </c>
      <c r="BH412" s="31">
        <f t="shared" si="416"/>
        <v>-56.5501453194335</v>
      </c>
      <c r="BI412" s="30" t="str">
        <f t="shared" si="369"/>
        <v>0,792529418253455+0,349426451138995i</v>
      </c>
      <c r="BJ412" s="68">
        <f t="shared" si="417"/>
        <v>-1.24821942413249</v>
      </c>
      <c r="BK412" s="31">
        <f t="shared" si="370"/>
        <v>23.7926963626274</v>
      </c>
      <c r="BL412" s="32">
        <f t="shared" si="418"/>
        <v>-7.63461926855157</v>
      </c>
      <c r="BM412" s="31">
        <f t="shared" si="419"/>
        <v>-56.5501453194335</v>
      </c>
      <c r="BO412">
        <f t="shared" si="420"/>
        <v>0</v>
      </c>
      <c r="BP412">
        <f t="shared" si="421"/>
        <v>0</v>
      </c>
    </row>
    <row r="413" spans="14:68">
      <c r="N413" s="7">
        <v>95</v>
      </c>
      <c r="O413" s="18">
        <f t="shared" si="371"/>
        <v>89125.0938133746</v>
      </c>
      <c r="P413" s="86" t="str">
        <f t="shared" si="372"/>
        <v>54,5454545454545</v>
      </c>
      <c r="Q413" s="4" t="str">
        <f t="shared" si="373"/>
        <v>1+1140,34221371473i</v>
      </c>
      <c r="R413" s="4">
        <f t="shared" si="384"/>
        <v>1140.34265217952</v>
      </c>
      <c r="S413" s="4">
        <f t="shared" si="385"/>
        <v>1.56991939728055</v>
      </c>
      <c r="T413" s="4" t="str">
        <f t="shared" si="374"/>
        <v>1+8,78063504560341i</v>
      </c>
      <c r="U413" s="4">
        <f t="shared" si="386"/>
        <v>8.8373950802303</v>
      </c>
      <c r="V413" s="4">
        <f t="shared" si="387"/>
        <v>1.45739793168919</v>
      </c>
      <c r="W413" t="str">
        <f t="shared" si="375"/>
        <v>1-25,1995265977139i</v>
      </c>
      <c r="X413" s="4">
        <f t="shared" si="388"/>
        <v>25.2193604349692</v>
      </c>
      <c r="Y413" s="4">
        <f t="shared" si="389"/>
        <v>-1.5311338525614</v>
      </c>
      <c r="Z413" t="str">
        <f t="shared" si="376"/>
        <v>0,935156878798018+1,73996731269929i</v>
      </c>
      <c r="AA413" s="4">
        <f t="shared" si="390"/>
        <v>1.975349244368</v>
      </c>
      <c r="AB413" s="4">
        <f t="shared" si="391"/>
        <v>1.07763435904837</v>
      </c>
      <c r="AC413" s="67" t="str">
        <f t="shared" si="392"/>
        <v>-4,92710643116571-2,20210120810636i</v>
      </c>
      <c r="AD413" s="68">
        <f t="shared" si="393"/>
        <v>14.6427529105621</v>
      </c>
      <c r="AE413" s="31">
        <f t="shared" si="394"/>
        <v>-155.918413336143</v>
      </c>
      <c r="AF413" s="32" t="str">
        <f t="shared" si="395"/>
        <v>432,040091031901</v>
      </c>
      <c r="AG413" s="32" t="str">
        <f t="shared" si="377"/>
        <v>1+929,167729693482i</v>
      </c>
      <c r="AH413" s="32">
        <f t="shared" si="396"/>
        <v>929.168267809303</v>
      </c>
      <c r="AI413" s="32">
        <f t="shared" si="397"/>
        <v>1.56972009525784</v>
      </c>
      <c r="AJ413" s="32" t="str">
        <f t="shared" si="378"/>
        <v>1+8,78063504560341i</v>
      </c>
      <c r="AK413" s="32">
        <f t="shared" si="398"/>
        <v>8.8373950802303</v>
      </c>
      <c r="AL413" s="32">
        <f t="shared" si="399"/>
        <v>1.45739793168919</v>
      </c>
      <c r="AM413" s="32" t="str">
        <f t="shared" si="379"/>
        <v>1-2,59224758099072i</v>
      </c>
      <c r="AN413" s="32">
        <f t="shared" si="400"/>
        <v>2.77844336295564</v>
      </c>
      <c r="AO413" s="32">
        <f t="shared" si="401"/>
        <v>-1.20262086856324</v>
      </c>
      <c r="AP413" s="30" t="str">
        <f t="shared" si="402"/>
        <v>2,88933508680699-11,0454393802279i</v>
      </c>
      <c r="AQ413" s="32">
        <f t="shared" si="403"/>
        <v>21.1511099667653</v>
      </c>
      <c r="AR413" s="31">
        <f t="shared" si="404"/>
        <v>-75.3406860412928</v>
      </c>
      <c r="AS413" t="str">
        <f t="shared" si="380"/>
        <v>-0,000201496259351621</v>
      </c>
      <c r="AT413" t="str">
        <f t="shared" si="381"/>
        <v>0,125829636144585i</v>
      </c>
      <c r="AU413">
        <f t="shared" si="405"/>
        <v>0.125829636144585</v>
      </c>
      <c r="AV413">
        <f t="shared" si="406"/>
        <v>1.5707963267949</v>
      </c>
      <c r="AW413" t="str">
        <f t="shared" si="382"/>
        <v>1+6,44224657618458i</v>
      </c>
      <c r="AX413">
        <f t="shared" si="407"/>
        <v>6.51939728413309</v>
      </c>
      <c r="AY413">
        <f t="shared" si="408"/>
        <v>1.41679996810229</v>
      </c>
      <c r="AZ413" t="str">
        <f t="shared" si="383"/>
        <v>1+307,994213972058i</v>
      </c>
      <c r="BA413">
        <f t="shared" si="409"/>
        <v>307.9958373749</v>
      </c>
      <c r="BB413">
        <f t="shared" si="410"/>
        <v>1.56754952396314</v>
      </c>
      <c r="BC413" s="30" t="str">
        <f t="shared" si="411"/>
        <v>-0,0113613861061431+0,0747941925693525i</v>
      </c>
      <c r="BD413" s="32">
        <f t="shared" si="412"/>
        <v>-22.423571057655</v>
      </c>
      <c r="BE413" s="31">
        <f t="shared" si="413"/>
        <v>98.6373133142988</v>
      </c>
      <c r="BF413" s="30" t="str">
        <f t="shared" si="414"/>
        <v>0,220683140366845-0,343500025152203i</v>
      </c>
      <c r="BG413" s="68">
        <f t="shared" si="415"/>
        <v>-7.78081814709292</v>
      </c>
      <c r="BH413" s="31">
        <f t="shared" si="416"/>
        <v>-57.281100021844</v>
      </c>
      <c r="BI413" s="30" t="str">
        <f t="shared" si="369"/>
        <v>0,793307868506635+0,341596986390796i</v>
      </c>
      <c r="BJ413" s="68">
        <f t="shared" si="417"/>
        <v>-1.27246109088967</v>
      </c>
      <c r="BK413" s="31">
        <f t="shared" si="370"/>
        <v>23.2966272730059</v>
      </c>
      <c r="BL413" s="32">
        <f t="shared" si="418"/>
        <v>-7.78081814709292</v>
      </c>
      <c r="BM413" s="31">
        <f t="shared" si="419"/>
        <v>-57.281100021844</v>
      </c>
      <c r="BO413">
        <f t="shared" si="420"/>
        <v>0</v>
      </c>
      <c r="BP413">
        <f t="shared" si="421"/>
        <v>0</v>
      </c>
    </row>
    <row r="414" spans="14:68">
      <c r="N414" s="7">
        <v>96</v>
      </c>
      <c r="O414" s="18">
        <f t="shared" si="371"/>
        <v>91201.083935591</v>
      </c>
      <c r="P414" s="86" t="str">
        <f t="shared" si="372"/>
        <v>54,5454545454545</v>
      </c>
      <c r="Q414" s="4" t="str">
        <f t="shared" si="373"/>
        <v>1+1166,9041960962i</v>
      </c>
      <c r="R414" s="4">
        <f t="shared" si="384"/>
        <v>1166.90462458031</v>
      </c>
      <c r="S414" s="4">
        <f t="shared" si="385"/>
        <v>1.56993935862343</v>
      </c>
      <c r="T414" s="4" t="str">
        <f t="shared" si="374"/>
        <v>1+8,98516230994079i</v>
      </c>
      <c r="U414" s="4">
        <f t="shared" si="386"/>
        <v>9.04063834781486</v>
      </c>
      <c r="V414" s="4">
        <f t="shared" si="387"/>
        <v>1.45995786302478</v>
      </c>
      <c r="W414" t="str">
        <f t="shared" si="375"/>
        <v>1-25,7864989762331i</v>
      </c>
      <c r="X414" s="4">
        <f t="shared" si="388"/>
        <v>25.8058816832766</v>
      </c>
      <c r="Y414" s="4">
        <f t="shared" si="389"/>
        <v>-1.53203576619808</v>
      </c>
      <c r="Z414" t="str">
        <f t="shared" si="376"/>
        <v>0,932100916644679+1,78049635788276i</v>
      </c>
      <c r="AA414" s="4">
        <f t="shared" si="390"/>
        <v>2.00972122426062</v>
      </c>
      <c r="AB414" s="4">
        <f t="shared" si="391"/>
        <v>1.08852106380114</v>
      </c>
      <c r="AC414" s="67" t="str">
        <f t="shared" si="392"/>
        <v>-4,97430531033065-2,16822643713689i</v>
      </c>
      <c r="AD414" s="68">
        <f t="shared" si="393"/>
        <v>14.690103669524</v>
      </c>
      <c r="AE414" s="31">
        <f t="shared" si="394"/>
        <v>-156.448321855477</v>
      </c>
      <c r="AF414" s="32" t="str">
        <f t="shared" si="395"/>
        <v>432,040091031901</v>
      </c>
      <c r="AG414" s="32" t="str">
        <f t="shared" si="377"/>
        <v>1+950,810826448759i</v>
      </c>
      <c r="AH414" s="32">
        <f t="shared" si="396"/>
        <v>950.811352315575</v>
      </c>
      <c r="AI414" s="32">
        <f t="shared" si="397"/>
        <v>1.56974459326025</v>
      </c>
      <c r="AJ414" s="32" t="str">
        <f t="shared" si="378"/>
        <v>1+8,98516230994079i</v>
      </c>
      <c r="AK414" s="32">
        <f t="shared" si="398"/>
        <v>9.04063834781486</v>
      </c>
      <c r="AL414" s="32">
        <f t="shared" si="399"/>
        <v>1.45995786302478</v>
      </c>
      <c r="AM414" s="32" t="str">
        <f t="shared" si="379"/>
        <v>1-2,65262878388454i</v>
      </c>
      <c r="AN414" s="32">
        <f t="shared" si="400"/>
        <v>2.83486145430297</v>
      </c>
      <c r="AO414" s="32">
        <f t="shared" si="401"/>
        <v>-1.21028693585735</v>
      </c>
      <c r="AP414" s="30" t="str">
        <f t="shared" si="402"/>
        <v>2,88931271478564-11,2814491543363i</v>
      </c>
      <c r="AQ414" s="32">
        <f t="shared" si="403"/>
        <v>21.3232125180923</v>
      </c>
      <c r="AR414" s="31">
        <f t="shared" si="404"/>
        <v>-75.6346497134801</v>
      </c>
      <c r="AS414" t="str">
        <f t="shared" si="380"/>
        <v>-0,000201496259351621</v>
      </c>
      <c r="AT414" t="str">
        <f t="shared" si="381"/>
        <v>0,128760584887991i</v>
      </c>
      <c r="AU414">
        <f t="shared" si="405"/>
        <v>0.128760584887991</v>
      </c>
      <c r="AV414">
        <f t="shared" si="406"/>
        <v>1.5707963267949</v>
      </c>
      <c r="AW414" t="str">
        <f t="shared" si="382"/>
        <v>1+6,59230577595437i</v>
      </c>
      <c r="AX414">
        <f t="shared" si="407"/>
        <v>6.66772040833157</v>
      </c>
      <c r="AY414">
        <f t="shared" si="408"/>
        <v>1.42025203068776</v>
      </c>
      <c r="AZ414" t="str">
        <f t="shared" si="383"/>
        <v>1+315,168320820627i</v>
      </c>
      <c r="BA414">
        <f t="shared" si="409"/>
        <v>315.169907270497</v>
      </c>
      <c r="BB414">
        <f t="shared" si="410"/>
        <v>1.5676234297168</v>
      </c>
      <c r="BC414" s="30" t="str">
        <f t="shared" si="411"/>
        <v>-0,0108615411607486+0,0731674913659429i</v>
      </c>
      <c r="BD414" s="32">
        <f t="shared" si="412"/>
        <v>-22.6189717866804</v>
      </c>
      <c r="BE414" s="31">
        <f t="shared" si="413"/>
        <v>98.4437591853023</v>
      </c>
      <c r="BF414" s="30" t="str">
        <f t="shared" si="414"/>
        <v>0,212672310992909-0,340407160152396i</v>
      </c>
      <c r="BG414" s="68">
        <f t="shared" si="415"/>
        <v>-7.92886811715644</v>
      </c>
      <c r="BH414" s="31">
        <f t="shared" si="416"/>
        <v>-58.0045626701744</v>
      </c>
      <c r="BI414" s="30" t="str">
        <f t="shared" si="369"/>
        <v>0,794052944617307+0,333937687455304i</v>
      </c>
      <c r="BJ414" s="68">
        <f t="shared" si="417"/>
        <v>-1.29575926858807</v>
      </c>
      <c r="BK414" s="31">
        <f t="shared" si="370"/>
        <v>22.8091094718223</v>
      </c>
      <c r="BL414" s="32">
        <f t="shared" si="418"/>
        <v>-7.92886811715644</v>
      </c>
      <c r="BM414" s="31">
        <f t="shared" si="419"/>
        <v>-58.0045626701744</v>
      </c>
      <c r="BO414">
        <f t="shared" si="420"/>
        <v>0</v>
      </c>
      <c r="BP414">
        <f t="shared" si="421"/>
        <v>0</v>
      </c>
    </row>
    <row r="415" spans="14:68">
      <c r="N415" s="7">
        <v>97</v>
      </c>
      <c r="O415" s="18">
        <f t="shared" si="371"/>
        <v>93325.4300796991</v>
      </c>
      <c r="P415" s="86" t="str">
        <f t="shared" si="372"/>
        <v>54,5454545454545</v>
      </c>
      <c r="Q415" s="4" t="str">
        <f t="shared" si="373"/>
        <v>1+1194,08488652825i</v>
      </c>
      <c r="R415" s="4">
        <f t="shared" si="384"/>
        <v>1194.08530525888</v>
      </c>
      <c r="S415" s="4">
        <f t="shared" si="385"/>
        <v>1.56995886559134</v>
      </c>
      <c r="T415" s="4" t="str">
        <f t="shared" si="374"/>
        <v>1+9,19445362626755i</v>
      </c>
      <c r="U415" s="4">
        <f t="shared" si="386"/>
        <v>9.24867436369043</v>
      </c>
      <c r="V415" s="4">
        <f t="shared" si="387"/>
        <v>1.46246093350129</v>
      </c>
      <c r="W415" t="str">
        <f t="shared" si="375"/>
        <v>1-26,3871436978342i</v>
      </c>
      <c r="X415" s="4">
        <f t="shared" si="388"/>
        <v>26.4060855207687</v>
      </c>
      <c r="Y415" s="4">
        <f t="shared" si="389"/>
        <v>-1.53291721074206</v>
      </c>
      <c r="Z415" t="str">
        <f t="shared" si="376"/>
        <v>0,928900931432156+1,82196944580283i</v>
      </c>
      <c r="AA415" s="4">
        <f t="shared" si="390"/>
        <v>2.04509892226626</v>
      </c>
      <c r="AB415" s="4">
        <f t="shared" si="391"/>
        <v>1.09931295597322</v>
      </c>
      <c r="AC415" s="67" t="str">
        <f t="shared" si="392"/>
        <v>-5,02039100285417-2,13363006392127i</v>
      </c>
      <c r="AD415" s="68">
        <f t="shared" si="393"/>
        <v>14.7358481137317</v>
      </c>
      <c r="AE415" s="31">
        <f t="shared" si="394"/>
        <v>-156.974857074946</v>
      </c>
      <c r="AF415" s="32" t="str">
        <f t="shared" si="395"/>
        <v>432,040091031901</v>
      </c>
      <c r="AG415" s="32" t="str">
        <f t="shared" si="377"/>
        <v>1+972,958055689686i</v>
      </c>
      <c r="AH415" s="32">
        <f t="shared" si="396"/>
        <v>972.958569586318</v>
      </c>
      <c r="AI415" s="32">
        <f t="shared" si="397"/>
        <v>1.56976853362125</v>
      </c>
      <c r="AJ415" s="32" t="str">
        <f t="shared" si="378"/>
        <v>1+9,19445362626755i</v>
      </c>
      <c r="AK415" s="32">
        <f t="shared" si="398"/>
        <v>9.24867436369043</v>
      </c>
      <c r="AL415" s="32">
        <f t="shared" si="399"/>
        <v>1.46246093350129</v>
      </c>
      <c r="AM415" s="32" t="str">
        <f t="shared" si="379"/>
        <v>1-2,71441644567127i</v>
      </c>
      <c r="AN415" s="32">
        <f t="shared" si="400"/>
        <v>2.8927593471512</v>
      </c>
      <c r="AO415" s="32">
        <f t="shared" si="401"/>
        <v>-1.21782156230029</v>
      </c>
      <c r="AP415" s="30" t="str">
        <f t="shared" si="402"/>
        <v>2,88929134966893-11,5234404999955i</v>
      </c>
      <c r="AQ415" s="32">
        <f t="shared" si="403"/>
        <v>21.4964299109088</v>
      </c>
      <c r="AR415" s="31">
        <f t="shared" si="404"/>
        <v>-75.9243083163862</v>
      </c>
      <c r="AS415" t="str">
        <f t="shared" si="380"/>
        <v>-0,000201496259351621</v>
      </c>
      <c r="AT415" t="str">
        <f t="shared" si="381"/>
        <v>0,131759804197852i</v>
      </c>
      <c r="AU415">
        <f t="shared" si="405"/>
        <v>0.131759804197852</v>
      </c>
      <c r="AV415">
        <f t="shared" si="406"/>
        <v>1.5707963267949</v>
      </c>
      <c r="AW415" t="str">
        <f t="shared" si="382"/>
        <v>1+6,74586030350604i</v>
      </c>
      <c r="AX415">
        <f t="shared" si="407"/>
        <v>6.8195770568576</v>
      </c>
      <c r="AY415">
        <f t="shared" si="408"/>
        <v>1.42362901178711</v>
      </c>
      <c r="AZ415" t="str">
        <f t="shared" si="383"/>
        <v>1+322,509534084639i</v>
      </c>
      <c r="BA415">
        <f t="shared" si="409"/>
        <v>322.511084422677</v>
      </c>
      <c r="BB415">
        <f t="shared" si="410"/>
        <v>1.56769565320362</v>
      </c>
      <c r="BC415" s="30" t="str">
        <f t="shared" si="411"/>
        <v>-0,0103832026829138+0,0715729043737674i</v>
      </c>
      <c r="BD415" s="32">
        <f t="shared" si="412"/>
        <v>-22.8145749614115</v>
      </c>
      <c r="BE415" s="31">
        <f t="shared" si="413"/>
        <v>98.2544105217902</v>
      </c>
      <c r="BF415" s="30" t="str">
        <f t="shared" si="414"/>
        <v>0,204837837864144-0,337170051762151i</v>
      </c>
      <c r="BG415" s="68">
        <f t="shared" si="415"/>
        <v>-8.07872684767971</v>
      </c>
      <c r="BH415" s="31">
        <f t="shared" si="416"/>
        <v>-58.720446553156</v>
      </c>
      <c r="BI415" s="30" t="str">
        <f t="shared" si="369"/>
        <v>0,794766007269374+0,326445191793758i</v>
      </c>
      <c r="BJ415" s="68">
        <f t="shared" si="417"/>
        <v>-1.3181450505027</v>
      </c>
      <c r="BK415" s="31">
        <f t="shared" si="370"/>
        <v>22.3301022054039</v>
      </c>
      <c r="BL415" s="32">
        <f t="shared" si="418"/>
        <v>-8.07872684767971</v>
      </c>
      <c r="BM415" s="31">
        <f t="shared" si="419"/>
        <v>-58.720446553156</v>
      </c>
      <c r="BO415">
        <f t="shared" si="420"/>
        <v>0</v>
      </c>
      <c r="BP415">
        <f t="shared" si="421"/>
        <v>0</v>
      </c>
    </row>
    <row r="416" spans="14:68">
      <c r="N416" s="7">
        <v>98</v>
      </c>
      <c r="O416" s="18">
        <f t="shared" si="371"/>
        <v>95499.2586021438</v>
      </c>
      <c r="P416" s="86" t="str">
        <f t="shared" si="372"/>
        <v>54,5454545454545</v>
      </c>
      <c r="Q416" s="4" t="str">
        <f t="shared" si="373"/>
        <v>1+1221,89869657272i</v>
      </c>
      <c r="R416" s="4">
        <f t="shared" si="384"/>
        <v>1221.89910577188</v>
      </c>
      <c r="S416" s="4">
        <f t="shared" si="385"/>
        <v>1.56997792852706</v>
      </c>
      <c r="T416" s="4" t="str">
        <f t="shared" si="374"/>
        <v>1+9,40861996360998i</v>
      </c>
      <c r="U416" s="4">
        <f t="shared" si="386"/>
        <v>9.46161347866421</v>
      </c>
      <c r="V416" s="4">
        <f t="shared" si="387"/>
        <v>1.46490834475053</v>
      </c>
      <c r="W416" t="str">
        <f t="shared" si="375"/>
        <v>1-27,0017792322991i</v>
      </c>
      <c r="X416" s="4">
        <f t="shared" si="388"/>
        <v>27.020290185522</v>
      </c>
      <c r="Y416" s="4">
        <f t="shared" si="389"/>
        <v>-1.5337786480651</v>
      </c>
      <c r="Z416" t="str">
        <f t="shared" si="376"/>
        <v>0,925550135562782+1,8644085660397i</v>
      </c>
      <c r="AA416" s="4">
        <f t="shared" si="390"/>
        <v>2.08150482933922</v>
      </c>
      <c r="AB416" s="4">
        <f t="shared" si="391"/>
        <v>1.11000802344853</v>
      </c>
      <c r="AC416" s="67" t="str">
        <f t="shared" si="392"/>
        <v>-5,06535210234961-2,09835899513473i</v>
      </c>
      <c r="AD416" s="68">
        <f t="shared" si="393"/>
        <v>14.7800201346055</v>
      </c>
      <c r="AE416" s="31">
        <f t="shared" si="394"/>
        <v>-157.497861916263</v>
      </c>
      <c r="AF416" s="32" t="str">
        <f t="shared" si="395"/>
        <v>432,040091031901</v>
      </c>
      <c r="AG416" s="32" t="str">
        <f t="shared" si="377"/>
        <v>1+995,621160170367i</v>
      </c>
      <c r="AH416" s="32">
        <f t="shared" si="396"/>
        <v>995.62166236929</v>
      </c>
      <c r="AI416" s="32">
        <f t="shared" si="397"/>
        <v>1.56979192903425</v>
      </c>
      <c r="AJ416" s="32" t="str">
        <f t="shared" si="378"/>
        <v>1+9,40861996360998i</v>
      </c>
      <c r="AK416" s="32">
        <f t="shared" si="398"/>
        <v>9.46161347866421</v>
      </c>
      <c r="AL416" s="32">
        <f t="shared" si="399"/>
        <v>1.46490834475053</v>
      </c>
      <c r="AM416" s="32" t="str">
        <f t="shared" si="379"/>
        <v>1-2,77764332698705i</v>
      </c>
      <c r="AN416" s="32">
        <f t="shared" si="400"/>
        <v>2.95216910964729</v>
      </c>
      <c r="AO416" s="32">
        <f t="shared" si="401"/>
        <v>-1.22522531989489</v>
      </c>
      <c r="AP416" s="30" t="str">
        <f t="shared" si="402"/>
        <v>2,8892709461389-11,7715417243614i</v>
      </c>
      <c r="AQ416" s="32">
        <f t="shared" si="403"/>
        <v>21.6707229154251</v>
      </c>
      <c r="AR416" s="31">
        <f t="shared" si="404"/>
        <v>-76.209626502205</v>
      </c>
      <c r="AS416" t="str">
        <f t="shared" si="380"/>
        <v>-0,000201496259351621</v>
      </c>
      <c r="AT416" t="str">
        <f t="shared" si="381"/>
        <v>0,134828884299946i</v>
      </c>
      <c r="AU416">
        <f t="shared" si="405"/>
        <v>0.134828884299946</v>
      </c>
      <c r="AV416">
        <f t="shared" si="406"/>
        <v>1.5707963267949</v>
      </c>
      <c r="AW416" t="str">
        <f t="shared" si="382"/>
        <v>1+6,90299157548267i</v>
      </c>
      <c r="AX416">
        <f t="shared" si="407"/>
        <v>6.97504786300314</v>
      </c>
      <c r="AY416">
        <f t="shared" si="408"/>
        <v>1.42693239367222</v>
      </c>
      <c r="AZ416" t="str">
        <f t="shared" si="383"/>
        <v>1+330,021746172543i</v>
      </c>
      <c r="BA416">
        <f t="shared" si="409"/>
        <v>330.023261220742</v>
      </c>
      <c r="BB416">
        <f t="shared" si="410"/>
        <v>1.56776623271441</v>
      </c>
      <c r="BC416" s="30" t="str">
        <f t="shared" si="411"/>
        <v>-0,00992548710414832+0,0700100130089767i</v>
      </c>
      <c r="BD416" s="32">
        <f t="shared" si="412"/>
        <v>-23.0103718627022</v>
      </c>
      <c r="BE416" s="31">
        <f t="shared" si="413"/>
        <v>98.0691845897422</v>
      </c>
      <c r="BF416" s="30" t="str">
        <f t="shared" si="414"/>
        <v>0,197182227516727-0,33379813143446i</v>
      </c>
      <c r="BG416" s="68">
        <f t="shared" si="415"/>
        <v>-8.23035172809663</v>
      </c>
      <c r="BH416" s="31">
        <f t="shared" si="416"/>
        <v>-59.4286773265205</v>
      </c>
      <c r="BI416" s="30" t="str">
        <f t="shared" si="369"/>
        <v>0,795448367741962+0,319116182106736i</v>
      </c>
      <c r="BJ416" s="68">
        <f t="shared" si="417"/>
        <v>-1.33964894727709</v>
      </c>
      <c r="BK416" s="31">
        <f t="shared" si="370"/>
        <v>21.8595580875372</v>
      </c>
      <c r="BL416" s="32">
        <f t="shared" si="418"/>
        <v>-8.23035172809663</v>
      </c>
      <c r="BM416" s="31">
        <f t="shared" si="419"/>
        <v>-59.4286773265205</v>
      </c>
      <c r="BO416">
        <f t="shared" si="420"/>
        <v>0</v>
      </c>
      <c r="BP416">
        <f t="shared" si="421"/>
        <v>0</v>
      </c>
    </row>
    <row r="417" spans="14:68">
      <c r="N417" s="7">
        <v>99</v>
      </c>
      <c r="O417" s="18">
        <f t="shared" si="371"/>
        <v>97723.7220955813</v>
      </c>
      <c r="P417" s="86" t="str">
        <f t="shared" si="372"/>
        <v>54,5454545454545</v>
      </c>
      <c r="Q417" s="4" t="str">
        <f t="shared" si="373"/>
        <v>1+1250,36037347986i</v>
      </c>
      <c r="R417" s="4">
        <f t="shared" si="384"/>
        <v>1250.36077336451</v>
      </c>
      <c r="S417" s="4">
        <f t="shared" si="385"/>
        <v>1.56999655753797</v>
      </c>
      <c r="T417" s="4" t="str">
        <f t="shared" si="374"/>
        <v>1+9,6277748757949i</v>
      </c>
      <c r="U417" s="4">
        <f t="shared" si="386"/>
        <v>9.67956864012997</v>
      </c>
      <c r="V417" s="4">
        <f t="shared" si="387"/>
        <v>1.46730127708203</v>
      </c>
      <c r="W417" t="str">
        <f t="shared" si="375"/>
        <v>1-27,6307314675236i</v>
      </c>
      <c r="X417" s="4">
        <f t="shared" si="388"/>
        <v>27.6488213388998</v>
      </c>
      <c r="Y417" s="4">
        <f t="shared" si="389"/>
        <v>-1.53462052979577</v>
      </c>
      <c r="Z417" t="str">
        <f t="shared" si="376"/>
        <v>0,92204142154927+1,90783622037663i</v>
      </c>
      <c r="AA417" s="4">
        <f t="shared" si="390"/>
        <v>2.11896187479473</v>
      </c>
      <c r="AB417" s="4">
        <f t="shared" si="391"/>
        <v>1.12060447544654</v>
      </c>
      <c r="AC417" s="67" t="str">
        <f t="shared" si="392"/>
        <v>-5,10917993064678-2,06245954273863i</v>
      </c>
      <c r="AD417" s="68">
        <f t="shared" si="393"/>
        <v>14.8226541612888</v>
      </c>
      <c r="AE417" s="31">
        <f t="shared" si="394"/>
        <v>-158.017192604024</v>
      </c>
      <c r="AF417" s="32" t="str">
        <f t="shared" si="395"/>
        <v>432,040091031901</v>
      </c>
      <c r="AG417" s="32" t="str">
        <f t="shared" si="377"/>
        <v>1+1018,81215616877i</v>
      </c>
      <c r="AH417" s="32">
        <f t="shared" si="396"/>
        <v>1018.81264693625</v>
      </c>
      <c r="AI417" s="32">
        <f t="shared" si="397"/>
        <v>1.56981479190369</v>
      </c>
      <c r="AJ417" s="32" t="str">
        <f t="shared" si="378"/>
        <v>1+9,6277748757949i</v>
      </c>
      <c r="AK417" s="32">
        <f t="shared" si="398"/>
        <v>9.67956864012997</v>
      </c>
      <c r="AL417" s="32">
        <f t="shared" si="399"/>
        <v>1.46730127708203</v>
      </c>
      <c r="AM417" s="32" t="str">
        <f t="shared" si="379"/>
        <v>1-2,84234295156125i</v>
      </c>
      <c r="AN417" s="32">
        <f t="shared" si="400"/>
        <v>3.01312353784074</v>
      </c>
      <c r="AO417" s="32">
        <f t="shared" si="401"/>
        <v>-1.2324988865037</v>
      </c>
      <c r="AP417" s="30" t="str">
        <f t="shared" si="402"/>
        <v>2,88925146091717-12,0258843741192i</v>
      </c>
      <c r="AQ417" s="32">
        <f t="shared" si="403"/>
        <v>21.8460532690459</v>
      </c>
      <c r="AR417" s="31">
        <f t="shared" si="404"/>
        <v>-76.4905761935685</v>
      </c>
      <c r="AS417" t="str">
        <f t="shared" si="380"/>
        <v>-0,000201496259351621</v>
      </c>
      <c r="AT417" t="str">
        <f t="shared" si="381"/>
        <v>0,137969452461168i</v>
      </c>
      <c r="AU417">
        <f t="shared" si="405"/>
        <v>0.137969452461168</v>
      </c>
      <c r="AV417">
        <f t="shared" si="406"/>
        <v>1.5707963267949</v>
      </c>
      <c r="AW417" t="str">
        <f t="shared" si="382"/>
        <v>1+7,0637829049645i</v>
      </c>
      <c r="AX417">
        <f t="shared" si="407"/>
        <v>7.13421536880326</v>
      </c>
      <c r="AY417">
        <f t="shared" si="408"/>
        <v>1.43016363930917</v>
      </c>
      <c r="AZ417" t="str">
        <f t="shared" si="383"/>
        <v>1+337,708940158621i</v>
      </c>
      <c r="BA417">
        <f t="shared" si="409"/>
        <v>337.710420720266</v>
      </c>
      <c r="BB417">
        <f t="shared" si="410"/>
        <v>1.56783520566857</v>
      </c>
      <c r="BC417" s="30" t="str">
        <f t="shared" si="411"/>
        <v>-0,00948754354375287+0,0684783889976051i</v>
      </c>
      <c r="BD417" s="32">
        <f t="shared" si="412"/>
        <v>-23.2063541303709</v>
      </c>
      <c r="BE417" s="31">
        <f t="shared" si="413"/>
        <v>97.887999711349</v>
      </c>
      <c r="BF417" s="30" t="str">
        <f t="shared" si="414"/>
        <v>0,189707473924358-0,330300736030626i</v>
      </c>
      <c r="BG417" s="68">
        <f t="shared" si="415"/>
        <v>-8.38369996908211</v>
      </c>
      <c r="BH417" s="31">
        <f t="shared" si="416"/>
        <v>-60.129192892675</v>
      </c>
      <c r="BI417" s="30" t="str">
        <f t="shared" si="369"/>
        <v>0,796101289166852+0,311947387104178i</v>
      </c>
      <c r="BJ417" s="68">
        <f t="shared" si="417"/>
        <v>-1.36030086132497</v>
      </c>
      <c r="BK417" s="31">
        <f t="shared" si="370"/>
        <v>21.3974235177804</v>
      </c>
      <c r="BL417" s="32">
        <f t="shared" si="418"/>
        <v>-8.38369996908211</v>
      </c>
      <c r="BM417" s="31">
        <f t="shared" si="419"/>
        <v>-60.129192892675</v>
      </c>
      <c r="BO417">
        <f t="shared" si="420"/>
        <v>0</v>
      </c>
      <c r="BP417">
        <f t="shared" si="421"/>
        <v>0</v>
      </c>
    </row>
    <row r="418" spans="14:68">
      <c r="N418" s="7">
        <v>100</v>
      </c>
      <c r="O418" s="18">
        <f t="shared" si="371"/>
        <v>100000</v>
      </c>
      <c r="P418" s="86" t="str">
        <f t="shared" si="372"/>
        <v>54,5454545454545</v>
      </c>
      <c r="Q418" s="4" t="str">
        <f t="shared" si="373"/>
        <v>1+1279,48500800748i</v>
      </c>
      <c r="R418" s="4">
        <f t="shared" si="384"/>
        <v>1279.48539878965</v>
      </c>
      <c r="S418" s="4">
        <f t="shared" si="385"/>
        <v>1.57001476250135</v>
      </c>
      <c r="T418" s="4" t="str">
        <f t="shared" si="374"/>
        <v>1+9,8520345616576i</v>
      </c>
      <c r="U418" s="4">
        <f t="shared" si="386"/>
        <v>9.90265545215504</v>
      </c>
      <c r="V418" s="4">
        <f t="shared" si="387"/>
        <v>1.4696408895825</v>
      </c>
      <c r="W418" t="str">
        <f t="shared" si="375"/>
        <v>1-28,2743338823082i</v>
      </c>
      <c r="X418" s="4">
        <f t="shared" si="388"/>
        <v>28.2920122382315</v>
      </c>
      <c r="Y418" s="4">
        <f t="shared" si="389"/>
        <v>-1.5354432975346</v>
      </c>
      <c r="Z418" t="str">
        <f t="shared" si="376"/>
        <v>0,918367346938775+1,9522754347308i</v>
      </c>
      <c r="AA418" s="4">
        <f t="shared" si="390"/>
        <v>2.15749344309008</v>
      </c>
      <c r="AB418" s="4">
        <f t="shared" si="391"/>
        <v>1.13110074011917</v>
      </c>
      <c r="AC418" s="67" t="str">
        <f t="shared" si="392"/>
        <v>-5,15186843128072-2,02597726352572i</v>
      </c>
      <c r="AD418" s="68">
        <f t="shared" si="393"/>
        <v>14.8637850501408</v>
      </c>
      <c r="AE418" s="31">
        <f t="shared" si="394"/>
        <v>-158.532718534967</v>
      </c>
      <c r="AF418" s="32" t="str">
        <f t="shared" si="395"/>
        <v>432,040091031901</v>
      </c>
      <c r="AG418" s="32" t="str">
        <f t="shared" si="377"/>
        <v>1+1042,54333985795i</v>
      </c>
      <c r="AH418" s="32">
        <f t="shared" si="396"/>
        <v>1042.54381945421</v>
      </c>
      <c r="AI418" s="32">
        <f t="shared" si="397"/>
        <v>1.56983713435168</v>
      </c>
      <c r="AJ418" s="32" t="str">
        <f t="shared" si="378"/>
        <v>1+9,8520345616576i</v>
      </c>
      <c r="AK418" s="32">
        <f t="shared" si="398"/>
        <v>9.90265545215504</v>
      </c>
      <c r="AL418" s="32">
        <f t="shared" si="399"/>
        <v>1.4696408895825</v>
      </c>
      <c r="AM418" s="32" t="str">
        <f t="shared" si="379"/>
        <v>1-2,90854962399121i</v>
      </c>
      <c r="AN418" s="32">
        <f t="shared" si="400"/>
        <v>3.07565617636618</v>
      </c>
      <c r="AO418" s="32">
        <f t="shared" si="401"/>
        <v>-1.23964303926325</v>
      </c>
      <c r="AP418" s="30" t="str">
        <f t="shared" si="402"/>
        <v>2,88923285267322-12,2866033052314i</v>
      </c>
      <c r="AQ418" s="32">
        <f t="shared" si="403"/>
        <v>22.0223836849673</v>
      </c>
      <c r="AR418" s="31">
        <f t="shared" si="404"/>
        <v>-76.7671362008885</v>
      </c>
      <c r="AS418" t="str">
        <f t="shared" si="380"/>
        <v>-0,000201496259351621</v>
      </c>
      <c r="AT418" t="str">
        <f t="shared" si="381"/>
        <v>0,141183173852325i</v>
      </c>
      <c r="AU418">
        <f t="shared" si="405"/>
        <v>0.141183173852325</v>
      </c>
      <c r="AV418">
        <f t="shared" si="406"/>
        <v>1.5707963267949</v>
      </c>
      <c r="AW418" t="str">
        <f t="shared" si="382"/>
        <v>1+7,22831954564274i</v>
      </c>
      <c r="AX418">
        <f t="shared" si="407"/>
        <v>7.29716406927519</v>
      </c>
      <c r="AY418">
        <f t="shared" si="408"/>
        <v>1.43332419190806</v>
      </c>
      <c r="AZ418" t="str">
        <f t="shared" si="383"/>
        <v>1+345,575191894877i</v>
      </c>
      <c r="BA418">
        <f t="shared" si="409"/>
        <v>345.576638754967</v>
      </c>
      <c r="BB418">
        <f t="shared" si="410"/>
        <v>1.56790260863384</v>
      </c>
      <c r="BC418" s="30" t="str">
        <f t="shared" si="411"/>
        <v>-0,00906855291753084+0,0669775957094833i</v>
      </c>
      <c r="BD418" s="32">
        <f t="shared" si="412"/>
        <v>-23.4025137498543</v>
      </c>
      <c r="BE418" s="31">
        <f t="shared" si="413"/>
        <v>97.7107752919402</v>
      </c>
      <c r="BF418" s="30" t="str">
        <f t="shared" si="414"/>
        <v>0,182415077566257-0,326687078914773i</v>
      </c>
      <c r="BG418" s="68">
        <f t="shared" si="415"/>
        <v>-8.5387286997135</v>
      </c>
      <c r="BH418" s="31">
        <f t="shared" si="416"/>
        <v>-60.8219432430271</v>
      </c>
      <c r="BI418" s="30" t="str">
        <f t="shared" si="369"/>
        <v>0,796725987805054+0,304935582167104i</v>
      </c>
      <c r="BJ418" s="68">
        <f t="shared" si="417"/>
        <v>-1.38013006488696</v>
      </c>
      <c r="BK418" s="31">
        <f t="shared" si="370"/>
        <v>20.9436390910517</v>
      </c>
      <c r="BL418" s="32">
        <f t="shared" si="418"/>
        <v>-8.5387286997135</v>
      </c>
      <c r="BM418" s="31">
        <f t="shared" si="419"/>
        <v>-60.8219432430271</v>
      </c>
      <c r="BO418">
        <f t="shared" si="420"/>
        <v>0</v>
      </c>
      <c r="BP418">
        <f t="shared" si="421"/>
        <v>0</v>
      </c>
    </row>
    <row r="419" spans="14:68">
      <c r="N419" s="7">
        <v>1</v>
      </c>
      <c r="O419" s="18">
        <f>10^(5+(N419/100))</f>
        <v>102329.299228075</v>
      </c>
      <c r="P419" s="86" t="str">
        <f t="shared" si="372"/>
        <v>54,5454545454545</v>
      </c>
      <c r="Q419" s="4" t="str">
        <f t="shared" si="373"/>
        <v>1+1309,28804242233i</v>
      </c>
      <c r="R419" s="4">
        <f t="shared" si="384"/>
        <v>1309.28842430921</v>
      </c>
      <c r="S419" s="4">
        <f t="shared" si="385"/>
        <v>1.57003255306967</v>
      </c>
      <c r="T419" s="4" t="str">
        <f t="shared" si="374"/>
        <v>1+10,081517926652i</v>
      </c>
      <c r="U419" s="4">
        <f t="shared" si="386"/>
        <v>10.1309922369631</v>
      </c>
      <c r="V419" s="4">
        <f t="shared" si="387"/>
        <v>1.47192832023709</v>
      </c>
      <c r="W419" t="str">
        <f t="shared" si="375"/>
        <v>1-28,9329277231721i</v>
      </c>
      <c r="X419" s="4">
        <f t="shared" si="388"/>
        <v>28.9502039135185</v>
      </c>
      <c r="Y419" s="4">
        <f t="shared" si="389"/>
        <v>-1.53624738306562</v>
      </c>
      <c r="Z419" t="str">
        <f t="shared" si="376"/>
        <v>0,914520118526458+1,99774977136188i</v>
      </c>
      <c r="AA419" s="4">
        <f t="shared" si="390"/>
        <v>2.1971233912018</v>
      </c>
      <c r="AB419" s="4">
        <f t="shared" si="391"/>
        <v>1.1414954615101</v>
      </c>
      <c r="AC419" s="67" t="str">
        <f t="shared" si="392"/>
        <v>-5,19341405434423-1,98895681154067i</v>
      </c>
      <c r="AD419" s="68">
        <f t="shared" si="393"/>
        <v>14.9034479785009</v>
      </c>
      <c r="AE419" s="31">
        <f t="shared" si="394"/>
        <v>-159.04432210922</v>
      </c>
      <c r="AF419" s="32" t="str">
        <f t="shared" si="395"/>
        <v>432,040091031901</v>
      </c>
      <c r="AG419" s="32" t="str">
        <f t="shared" si="377"/>
        <v>1+1066,8272938256i</v>
      </c>
      <c r="AH419" s="32">
        <f t="shared" si="396"/>
        <v>1066.82776250492</v>
      </c>
      <c r="AI419" s="32">
        <f t="shared" si="397"/>
        <v>1.56985896822439</v>
      </c>
      <c r="AJ419" s="32" t="str">
        <f t="shared" si="378"/>
        <v>1+10,081517926652i</v>
      </c>
      <c r="AK419" s="32">
        <f t="shared" si="398"/>
        <v>10.1309922369631</v>
      </c>
      <c r="AL419" s="32">
        <f t="shared" si="399"/>
        <v>1.47192832023709</v>
      </c>
      <c r="AM419" s="32" t="str">
        <f t="shared" si="379"/>
        <v>1-2,97629844793102i</v>
      </c>
      <c r="AN419" s="32">
        <f t="shared" si="400"/>
        <v>3.13980133944118</v>
      </c>
      <c r="AO419" s="32">
        <f t="shared" si="401"/>
        <v>-1.24665864812831</v>
      </c>
      <c r="AP419" s="30" t="str">
        <f t="shared" si="402"/>
        <v>2,88921508193675-12,5538367544415i</v>
      </c>
      <c r="AQ419" s="32">
        <f t="shared" si="403"/>
        <v>22.1996778576832</v>
      </c>
      <c r="AR419" s="31">
        <f t="shared" si="404"/>
        <v>-77.0392918458903</v>
      </c>
      <c r="AS419" t="str">
        <f t="shared" si="380"/>
        <v>-0,000201496259351621</v>
      </c>
      <c r="AT419" t="str">
        <f t="shared" si="381"/>
        <v>0,144471752431039i</v>
      </c>
      <c r="AU419">
        <f t="shared" si="405"/>
        <v>0.144471752431039</v>
      </c>
      <c r="AV419">
        <f t="shared" si="406"/>
        <v>1.5707963267949</v>
      </c>
      <c r="AW419" t="str">
        <f t="shared" si="382"/>
        <v>1+7,39668873702219i</v>
      </c>
      <c r="AX419">
        <f t="shared" si="407"/>
        <v>7.46398045766406</v>
      </c>
      <c r="AY419">
        <f t="shared" si="408"/>
        <v>1.4364154745348</v>
      </c>
      <c r="AZ419" t="str">
        <f t="shared" si="383"/>
        <v>1+353,624672172103i</v>
      </c>
      <c r="BA419">
        <f t="shared" si="409"/>
        <v>353.62608609777</v>
      </c>
      <c r="BB419">
        <f t="shared" si="410"/>
        <v>1.56796847734571</v>
      </c>
      <c r="BC419" s="30" t="str">
        <f t="shared" si="411"/>
        <v>-0,00866772704088212+0,0655071894046922i</v>
      </c>
      <c r="BD419" s="32">
        <f t="shared" si="412"/>
        <v>-23.5988430392321</v>
      </c>
      <c r="BE419" s="31">
        <f t="shared" si="413"/>
        <v>97.5374318433375</v>
      </c>
      <c r="BF419" s="30" t="str">
        <f t="shared" si="414"/>
        <v>0,175306066004684-0,32296622337638i</v>
      </c>
      <c r="BG419" s="68">
        <f t="shared" si="415"/>
        <v>-8.69539506073116</v>
      </c>
      <c r="BH419" s="31">
        <f t="shared" si="416"/>
        <v>-61.5068902658827</v>
      </c>
      <c r="BI419" s="30" t="str">
        <f t="shared" si="369"/>
        <v>0,797323634336158+0,298077589906616i</v>
      </c>
      <c r="BJ419" s="68">
        <f t="shared" si="417"/>
        <v>-1.3991651815489</v>
      </c>
      <c r="BK419" s="31">
        <f t="shared" si="370"/>
        <v>20.4981399974472</v>
      </c>
      <c r="BL419" s="32">
        <f t="shared" si="418"/>
        <v>-8.69539506073116</v>
      </c>
      <c r="BM419" s="31">
        <f t="shared" si="419"/>
        <v>-61.5068902658827</v>
      </c>
      <c r="BO419">
        <f t="shared" si="420"/>
        <v>0</v>
      </c>
      <c r="BP419">
        <f t="shared" si="421"/>
        <v>0</v>
      </c>
    </row>
    <row r="420" spans="14:68">
      <c r="N420" s="7">
        <v>2</v>
      </c>
      <c r="O420" s="18">
        <f t="shared" ref="O420:O483" si="422">10^(5+(N420/100))</f>
        <v>104712.85480509</v>
      </c>
      <c r="P420" s="86" t="str">
        <f t="shared" si="372"/>
        <v>54,5454545454545</v>
      </c>
      <c r="Q420" s="4" t="str">
        <f t="shared" si="373"/>
        <v>1+1339,78527868776i</v>
      </c>
      <c r="R420" s="4">
        <f t="shared" si="384"/>
        <v>1339.78565188184</v>
      </c>
      <c r="S420" s="4">
        <f t="shared" si="385"/>
        <v>1.57004993867569</v>
      </c>
      <c r="T420" s="4" t="str">
        <f t="shared" si="374"/>
        <v>1+10,3163466458958i</v>
      </c>
      <c r="U420" s="4">
        <f t="shared" si="386"/>
        <v>10.3647000978458</v>
      </c>
      <c r="V420" s="4">
        <f t="shared" si="387"/>
        <v>1.47416468607041</v>
      </c>
      <c r="W420" t="str">
        <f t="shared" si="375"/>
        <v>1-29,6068621852877i</v>
      </c>
      <c r="X420" s="4">
        <f t="shared" si="388"/>
        <v>29.6237453482611</v>
      </c>
      <c r="Y420" s="4">
        <f t="shared" si="389"/>
        <v>-1.5370332085642</v>
      </c>
      <c r="Z420" t="str">
        <f t="shared" si="376"/>
        <v>0,910491575825045+2,0442833413651i</v>
      </c>
      <c r="AA420" s="4">
        <f t="shared" si="390"/>
        <v>2.23787606659333</v>
      </c>
      <c r="AB420" s="4">
        <f t="shared" si="391"/>
        <v>1.15178749593071</v>
      </c>
      <c r="AC420" s="67" t="str">
        <f t="shared" si="392"/>
        <v>-5,23381563412968-1,95144180362499i</v>
      </c>
      <c r="AD420" s="68">
        <f t="shared" si="393"/>
        <v>14.9416783429997</v>
      </c>
      <c r="AE420" s="31">
        <f t="shared" si="394"/>
        <v>-159.551898526779</v>
      </c>
      <c r="AF420" s="32" t="str">
        <f t="shared" si="395"/>
        <v>432,040091031901</v>
      </c>
      <c r="AG420" s="32" t="str">
        <f t="shared" si="377"/>
        <v>1+1091,67689374559i</v>
      </c>
      <c r="AH420" s="32">
        <f t="shared" si="396"/>
        <v>1091.67735175647</v>
      </c>
      <c r="AI420" s="32">
        <f t="shared" si="397"/>
        <v>1.56988030509834</v>
      </c>
      <c r="AJ420" s="32" t="str">
        <f t="shared" si="378"/>
        <v>1+10,3163466458958i</v>
      </c>
      <c r="AK420" s="32">
        <f t="shared" si="398"/>
        <v>10.3647000978458</v>
      </c>
      <c r="AL420" s="32">
        <f t="shared" si="399"/>
        <v>1.47416468607041</v>
      </c>
      <c r="AM420" s="32" t="str">
        <f t="shared" si="379"/>
        <v>1-3,04562534470391i</v>
      </c>
      <c r="AN420" s="32">
        <f t="shared" si="400"/>
        <v>3.20559413218561</v>
      </c>
      <c r="AO420" s="32">
        <f t="shared" si="401"/>
        <v>-1.25354666956382</v>
      </c>
      <c r="AP420" s="30" t="str">
        <f t="shared" si="402"/>
        <v>2,88919811101373-12,8277264125685i</v>
      </c>
      <c r="AQ420" s="32">
        <f t="shared" si="403"/>
        <v>22.3779004655975</v>
      </c>
      <c r="AR420" s="31">
        <f t="shared" si="404"/>
        <v>-77.3070345924695</v>
      </c>
      <c r="AS420" t="str">
        <f t="shared" si="380"/>
        <v>-0,000201496259351621</v>
      </c>
      <c r="AT420" t="str">
        <f t="shared" si="381"/>
        <v>0,147836931845203i</v>
      </c>
      <c r="AU420">
        <f t="shared" si="405"/>
        <v>0.147836931845203</v>
      </c>
      <c r="AV420">
        <f t="shared" si="406"/>
        <v>1.5707963267949</v>
      </c>
      <c r="AW420" t="str">
        <f t="shared" si="382"/>
        <v>1+7,56897975067682i</v>
      </c>
      <c r="AX420">
        <f t="shared" si="407"/>
        <v>7.63475307172116</v>
      </c>
      <c r="AY420">
        <f t="shared" si="408"/>
        <v>1.43943888978084</v>
      </c>
      <c r="AZ420" t="str">
        <f t="shared" si="383"/>
        <v>1+361,861648931294i</v>
      </c>
      <c r="BA420">
        <f t="shared" si="409"/>
        <v>361.863030672208</v>
      </c>
      <c r="BB420">
        <f t="shared" si="410"/>
        <v>1.56803284672635</v>
      </c>
      <c r="BC420" s="30" t="str">
        <f t="shared" si="411"/>
        <v>-0,00828430772991494+0,0640667203966652i</v>
      </c>
      <c r="BD420" s="32">
        <f t="shared" si="412"/>
        <v>-23.795334636623</v>
      </c>
      <c r="BE420" s="31">
        <f t="shared" si="413"/>
        <v>97.3678910038649</v>
      </c>
      <c r="BF420" s="30" t="str">
        <f t="shared" si="414"/>
        <v>0,168381015717976-0,319147058421231i</v>
      </c>
      <c r="BG420" s="68">
        <f t="shared" si="415"/>
        <v>-8.8536562936233</v>
      </c>
      <c r="BH420" s="31">
        <f t="shared" si="416"/>
        <v>-62.184007522914</v>
      </c>
      <c r="BI420" s="30" t="str">
        <f t="shared" si="369"/>
        <v>0,797895355154617+0,291370280625765i</v>
      </c>
      <c r="BJ420" s="68">
        <f t="shared" si="417"/>
        <v>-1.4174341710255</v>
      </c>
      <c r="BK420" s="31">
        <f t="shared" si="370"/>
        <v>20.0608564113953</v>
      </c>
      <c r="BL420" s="32">
        <f t="shared" si="418"/>
        <v>-8.8536562936233</v>
      </c>
      <c r="BM420" s="31">
        <f t="shared" si="419"/>
        <v>-62.184007522914</v>
      </c>
      <c r="BO420">
        <f t="shared" si="420"/>
        <v>0</v>
      </c>
      <c r="BP420">
        <f t="shared" si="421"/>
        <v>0</v>
      </c>
    </row>
    <row r="421" spans="14:68">
      <c r="N421" s="7">
        <v>3</v>
      </c>
      <c r="O421" s="18">
        <f t="shared" si="422"/>
        <v>107151.930523761</v>
      </c>
      <c r="P421" s="86" t="str">
        <f t="shared" si="372"/>
        <v>54,5454545454545</v>
      </c>
      <c r="Q421" s="4" t="str">
        <f t="shared" si="373"/>
        <v>1+1370,99288684211i</v>
      </c>
      <c r="R421" s="4">
        <f t="shared" si="384"/>
        <v>1370.99325154125</v>
      </c>
      <c r="S421" s="4">
        <f t="shared" si="385"/>
        <v>1.57006692853743</v>
      </c>
      <c r="T421" s="4" t="str">
        <f t="shared" si="374"/>
        <v>1+10,5566452286843i</v>
      </c>
      <c r="U421" s="4">
        <f t="shared" si="386"/>
        <v>10.6039029835388</v>
      </c>
      <c r="V421" s="4">
        <f t="shared" si="387"/>
        <v>1.4763510833056</v>
      </c>
      <c r="W421" t="str">
        <f t="shared" si="375"/>
        <v>1-30,2964945976271i</v>
      </c>
      <c r="X421" s="4">
        <f t="shared" si="388"/>
        <v>30.3129936645005</v>
      </c>
      <c r="Y421" s="4">
        <f t="shared" si="389"/>
        <v>-1.53780118680106</v>
      </c>
      <c r="Z421" t="str">
        <f t="shared" si="376"/>
        <v>0,906273173755355+2,0919008174552i</v>
      </c>
      <c r="AA421" s="4">
        <f t="shared" si="390"/>
        <v>2.27977632576934</v>
      </c>
      <c r="AB421" s="4">
        <f t="shared" si="391"/>
        <v>1.16197590780817</v>
      </c>
      <c r="AC421" s="67" t="str">
        <f t="shared" si="392"/>
        <v>-5,27307426094337-1,91347469818434i</v>
      </c>
      <c r="AD421" s="68">
        <f t="shared" si="393"/>
        <v>14.9785116626353</v>
      </c>
      <c r="AE421" s="31">
        <f t="shared" si="394"/>
        <v>-160.055355552485</v>
      </c>
      <c r="AF421" s="32" t="str">
        <f t="shared" si="395"/>
        <v>432,040091031901</v>
      </c>
      <c r="AG421" s="32" t="str">
        <f t="shared" si="377"/>
        <v>1+1117,10531520468i</v>
      </c>
      <c r="AH421" s="32">
        <f t="shared" si="396"/>
        <v>1117.10576278996</v>
      </c>
      <c r="AI421" s="32">
        <f t="shared" si="397"/>
        <v>1.56990115628655</v>
      </c>
      <c r="AJ421" s="32" t="str">
        <f t="shared" si="378"/>
        <v>1+10,5566452286843i</v>
      </c>
      <c r="AK421" s="32">
        <f t="shared" si="398"/>
        <v>10.6039029835388</v>
      </c>
      <c r="AL421" s="32">
        <f t="shared" si="399"/>
        <v>1.4763510833056</v>
      </c>
      <c r="AM421" s="32" t="str">
        <f t="shared" si="379"/>
        <v>1-3,11656707234818i</v>
      </c>
      <c r="AN421" s="32">
        <f t="shared" si="400"/>
        <v>3.27307047226987</v>
      </c>
      <c r="AO421" s="32">
        <f t="shared" si="401"/>
        <v>-1.2603081404</v>
      </c>
      <c r="AP421" s="30" t="str">
        <f t="shared" si="402"/>
        <v>2,88918190390687-13,108417499635i</v>
      </c>
      <c r="AQ421" s="32">
        <f t="shared" si="403"/>
        <v>22.5570171709437</v>
      </c>
      <c r="AR421" s="31">
        <f t="shared" si="404"/>
        <v>-77.5703616858502</v>
      </c>
      <c r="AS421" t="str">
        <f t="shared" si="380"/>
        <v>-0,000201496259351621</v>
      </c>
      <c r="AT421" t="str">
        <f t="shared" si="381"/>
        <v>0,151280496357484i</v>
      </c>
      <c r="AU421">
        <f t="shared" si="405"/>
        <v>0.151280496357484</v>
      </c>
      <c r="AV421">
        <f t="shared" si="406"/>
        <v>1.5707963267949</v>
      </c>
      <c r="AW421" t="str">
        <f t="shared" si="382"/>
        <v>1+7,74528393758255i</v>
      </c>
      <c r="AX421">
        <f t="shared" si="407"/>
        <v>7.80957254104053</v>
      </c>
      <c r="AY421">
        <f t="shared" si="408"/>
        <v>1.44239581948677</v>
      </c>
      <c r="AZ421" t="str">
        <f t="shared" si="383"/>
        <v>1+370,290489526552i</v>
      </c>
      <c r="BA421">
        <f t="shared" si="409"/>
        <v>370.291839815319</v>
      </c>
      <c r="BB421">
        <f t="shared" si="410"/>
        <v>1.56809575090314</v>
      </c>
      <c r="BC421" s="30" t="str">
        <f t="shared" si="411"/>
        <v>-0,0079175659038268+0,0626557341359632i</v>
      </c>
      <c r="BD421" s="32">
        <f t="shared" si="412"/>
        <v>-23.9919814879521</v>
      </c>
      <c r="BE421" s="31">
        <f t="shared" si="413"/>
        <v>97.2020755552416</v>
      </c>
      <c r="BF421" s="30" t="str">
        <f t="shared" si="414"/>
        <v>0,161640074942122-0,315238276944679i</v>
      </c>
      <c r="BG421" s="68">
        <f t="shared" si="415"/>
        <v>-9.01346982531674</v>
      </c>
      <c r="BH421" s="31">
        <f t="shared" si="416"/>
        <v>-62.8532799972438</v>
      </c>
      <c r="BI421" s="30" t="str">
        <f t="shared" si="369"/>
        <v>0,798442233668012+0,284810572689861i</v>
      </c>
      <c r="BJ421" s="68">
        <f t="shared" si="417"/>
        <v>-1.43496431700837</v>
      </c>
      <c r="BK421" s="31">
        <f t="shared" si="370"/>
        <v>19.6317138693914</v>
      </c>
      <c r="BL421" s="32">
        <f t="shared" si="418"/>
        <v>-9.01346982531674</v>
      </c>
      <c r="BM421" s="31">
        <f t="shared" si="419"/>
        <v>-62.8532799972438</v>
      </c>
      <c r="BO421">
        <f t="shared" si="420"/>
        <v>0</v>
      </c>
      <c r="BP421">
        <f t="shared" si="421"/>
        <v>0</v>
      </c>
    </row>
    <row r="422" spans="14:68">
      <c r="N422" s="7">
        <v>4</v>
      </c>
      <c r="O422" s="18">
        <f t="shared" si="422"/>
        <v>109647.819614319</v>
      </c>
      <c r="P422" s="86" t="str">
        <f t="shared" si="372"/>
        <v>54,5454545454545</v>
      </c>
      <c r="Q422" s="4" t="str">
        <f t="shared" si="373"/>
        <v>1+1402,9274135723i</v>
      </c>
      <c r="R422" s="4">
        <f t="shared" si="384"/>
        <v>1402.92776996988</v>
      </c>
      <c r="S422" s="4">
        <f t="shared" si="385"/>
        <v>1.57008353166311</v>
      </c>
      <c r="T422" s="4" t="str">
        <f t="shared" si="374"/>
        <v>1+10,8025410845067i</v>
      </c>
      <c r="U422" s="4">
        <f t="shared" si="386"/>
        <v>10.8487277540943</v>
      </c>
      <c r="V422" s="4">
        <f t="shared" si="387"/>
        <v>1.47848858753972</v>
      </c>
      <c r="W422" t="str">
        <f t="shared" si="375"/>
        <v>1-31,0021906124235i</v>
      </c>
      <c r="X422" s="4">
        <f t="shared" si="388"/>
        <v>31.0183143121776</v>
      </c>
      <c r="Y422" s="4">
        <f t="shared" si="389"/>
        <v>-1.5385517213428</v>
      </c>
      <c r="Z422" t="str">
        <f t="shared" si="376"/>
        <v>0,901855964521026+2,14062744704829i</v>
      </c>
      <c r="AA422" s="4">
        <f t="shared" si="390"/>
        <v>2.32284955341465</v>
      </c>
      <c r="AB422" s="4">
        <f t="shared" si="391"/>
        <v>1.17205996506093</v>
      </c>
      <c r="AC422" s="67" t="str">
        <f t="shared" si="392"/>
        <v>-5,31119314842373-1,87509668713893i</v>
      </c>
      <c r="AD422" s="68">
        <f t="shared" si="393"/>
        <v>15.0139834867879</v>
      </c>
      <c r="AE422" s="31">
        <f t="shared" si="394"/>
        <v>-160.554613252779</v>
      </c>
      <c r="AF422" s="32" t="str">
        <f t="shared" si="395"/>
        <v>432,040091031901</v>
      </c>
      <c r="AG422" s="32" t="str">
        <f t="shared" si="377"/>
        <v>1+1143,12604068854i</v>
      </c>
      <c r="AH422" s="32">
        <f t="shared" si="396"/>
        <v>1143.12647808554</v>
      </c>
      <c r="AI422" s="32">
        <f t="shared" si="397"/>
        <v>1.56992153284452</v>
      </c>
      <c r="AJ422" s="32" t="str">
        <f t="shared" si="378"/>
        <v>1+10,8025410845067i</v>
      </c>
      <c r="AK422" s="32">
        <f t="shared" si="398"/>
        <v>10.8487277540943</v>
      </c>
      <c r="AL422" s="32">
        <f t="shared" si="399"/>
        <v>1.47848858753972</v>
      </c>
      <c r="AM422" s="32" t="str">
        <f t="shared" si="379"/>
        <v>1-3,18916124510684i</v>
      </c>
      <c r="AN422" s="32">
        <f t="shared" si="400"/>
        <v>3.34226711190046</v>
      </c>
      <c r="AO422" s="32">
        <f t="shared" si="401"/>
        <v>-1.26694417186345</v>
      </c>
      <c r="AP422" s="30" t="str">
        <f t="shared" si="402"/>
        <v>2,8891664262388-13,3960588418637i</v>
      </c>
      <c r="AQ422" s="32">
        <f t="shared" si="403"/>
        <v>22.7369946172057</v>
      </c>
      <c r="AR422" s="31">
        <f t="shared" si="404"/>
        <v>-77.8292758008883</v>
      </c>
      <c r="AS422" t="str">
        <f t="shared" si="380"/>
        <v>-0,000201496259351621</v>
      </c>
      <c r="AT422" t="str">
        <f t="shared" si="381"/>
        <v>0,154804271791368i</v>
      </c>
      <c r="AU422">
        <f t="shared" si="405"/>
        <v>0.154804271791368</v>
      </c>
      <c r="AV422">
        <f t="shared" si="406"/>
        <v>1.5707963267949</v>
      </c>
      <c r="AW422" t="str">
        <f t="shared" si="382"/>
        <v>1+7,92569477655292i</v>
      </c>
      <c r="AX422">
        <f t="shared" si="407"/>
        <v>7.98853163548084</v>
      </c>
      <c r="AY422">
        <f t="shared" si="408"/>
        <v>1.44528762451635</v>
      </c>
      <c r="AZ422" t="str">
        <f t="shared" si="383"/>
        <v>1+378,915663040731i</v>
      </c>
      <c r="BA422">
        <f t="shared" si="409"/>
        <v>378.916982593281</v>
      </c>
      <c r="BB422">
        <f t="shared" si="410"/>
        <v>1.5681572232267</v>
      </c>
      <c r="BC422" s="30" t="str">
        <f t="shared" si="411"/>
        <v>-0,00756680069144428+0,0612737722186569i</v>
      </c>
      <c r="BD422" s="32">
        <f t="shared" si="412"/>
        <v>-24.1887768350897</v>
      </c>
      <c r="BE422" s="31">
        <f t="shared" si="413"/>
        <v>97.0399094365688</v>
      </c>
      <c r="BF422" s="30" t="str">
        <f t="shared" si="414"/>
        <v>0,155082987283596-0,311248356277039i</v>
      </c>
      <c r="BG422" s="68">
        <f t="shared" si="415"/>
        <v>-9.17479334830175</v>
      </c>
      <c r="BH422" s="31">
        <f t="shared" si="416"/>
        <v>-63.5147038162105</v>
      </c>
      <c r="BI422" s="30" t="str">
        <f t="shared" si="369"/>
        <v>0,79896531159232+0,27839543281039i</v>
      </c>
      <c r="BJ422" s="68">
        <f t="shared" si="417"/>
        <v>-1.45178221788395</v>
      </c>
      <c r="BK422" s="31">
        <f t="shared" si="370"/>
        <v>19.2106336356806</v>
      </c>
      <c r="BL422" s="32">
        <f t="shared" si="418"/>
        <v>-9.17479334830175</v>
      </c>
      <c r="BM422" s="31">
        <f t="shared" si="419"/>
        <v>-63.5147038162105</v>
      </c>
      <c r="BO422">
        <f t="shared" si="420"/>
        <v>0</v>
      </c>
      <c r="BP422">
        <f t="shared" si="421"/>
        <v>0</v>
      </c>
    </row>
    <row r="423" spans="14:68">
      <c r="N423" s="7">
        <v>5</v>
      </c>
      <c r="O423" s="18">
        <f t="shared" si="422"/>
        <v>112201.845430197</v>
      </c>
      <c r="P423" s="86" t="str">
        <f t="shared" si="372"/>
        <v>54,5454545454545</v>
      </c>
      <c r="Q423" s="4" t="str">
        <f t="shared" si="373"/>
        <v>1+1435,60579098709i</v>
      </c>
      <c r="R423" s="4">
        <f t="shared" si="384"/>
        <v>1435.60613927207</v>
      </c>
      <c r="S423" s="4">
        <f t="shared" si="385"/>
        <v>1.57009975685589</v>
      </c>
      <c r="T423" s="4" t="str">
        <f t="shared" si="374"/>
        <v>1+11,0541645906006i</v>
      </c>
      <c r="U423" s="4">
        <f t="shared" si="386"/>
        <v>11.0993042482891</v>
      </c>
      <c r="V423" s="4">
        <f t="shared" si="387"/>
        <v>1.48057825393395</v>
      </c>
      <c r="W423" t="str">
        <f t="shared" si="375"/>
        <v>1-31,7243243990452i</v>
      </c>
      <c r="X423" s="4">
        <f t="shared" si="388"/>
        <v>31.7400812629057</v>
      </c>
      <c r="Y423" s="4">
        <f t="shared" si="389"/>
        <v>-1.53928520674861</v>
      </c>
      <c r="Z423" t="str">
        <f t="shared" si="376"/>
        <v>0,897230578629046+2,19048906564836i</v>
      </c>
      <c r="AA423" s="4">
        <f t="shared" si="390"/>
        <v>2.36712168211777</v>
      </c>
      <c r="AB423" s="4">
        <f t="shared" si="391"/>
        <v>1.18203913405655</v>
      </c>
      <c r="AC423" s="67" t="str">
        <f t="shared" si="392"/>
        <v>-5,34817749762873-1,83634760089442i</v>
      </c>
      <c r="AD423" s="68">
        <f t="shared" si="393"/>
        <v>15.0481293082943</v>
      </c>
      <c r="AE423" s="31">
        <f t="shared" si="394"/>
        <v>-161.049603707452</v>
      </c>
      <c r="AF423" s="32" t="str">
        <f t="shared" si="395"/>
        <v>432,040091031901</v>
      </c>
      <c r="AG423" s="32" t="str">
        <f t="shared" si="377"/>
        <v>1+1169,75286673023i</v>
      </c>
      <c r="AH423" s="32">
        <f t="shared" si="396"/>
        <v>1169.75329417087</v>
      </c>
      <c r="AI423" s="32">
        <f t="shared" si="397"/>
        <v>1.56994144557611</v>
      </c>
      <c r="AJ423" s="32" t="str">
        <f t="shared" si="378"/>
        <v>1+11,0541645906006i</v>
      </c>
      <c r="AK423" s="32">
        <f t="shared" si="398"/>
        <v>11.0993042482891</v>
      </c>
      <c r="AL423" s="32">
        <f t="shared" si="399"/>
        <v>1.48057825393395</v>
      </c>
      <c r="AM423" s="32" t="str">
        <f t="shared" si="379"/>
        <v>1-3,2634463533712i</v>
      </c>
      <c r="AN423" s="32">
        <f t="shared" si="400"/>
        <v>3.41322166015215</v>
      </c>
      <c r="AO423" s="32">
        <f t="shared" si="401"/>
        <v>-1.27345594379515</v>
      </c>
      <c r="AP423" s="30" t="str">
        <f t="shared" si="402"/>
        <v>2,88915164517949-13,690802950589i</v>
      </c>
      <c r="AQ423" s="32">
        <f t="shared" si="403"/>
        <v>22.9178004242384</v>
      </c>
      <c r="AR423" s="31">
        <f t="shared" si="404"/>
        <v>-78.0837847002256</v>
      </c>
      <c r="AS423" t="str">
        <f t="shared" si="380"/>
        <v>-0,000201496259351621</v>
      </c>
      <c r="AT423" t="str">
        <f t="shared" si="381"/>
        <v>0,158410126499232i</v>
      </c>
      <c r="AU423">
        <f t="shared" si="405"/>
        <v>0.158410126499232</v>
      </c>
      <c r="AV423">
        <f t="shared" si="406"/>
        <v>1.5707963267949</v>
      </c>
      <c r="AW423" t="str">
        <f t="shared" si="382"/>
        <v>1+8,11030792380279i</v>
      </c>
      <c r="AX423">
        <f t="shared" si="407"/>
        <v>8.17172531469936</v>
      </c>
      <c r="AY423">
        <f t="shared" si="408"/>
        <v>1.44811564457724</v>
      </c>
      <c r="AZ423" t="str">
        <f t="shared" si="383"/>
        <v>1+387,741742654997i</v>
      </c>
      <c r="BA423">
        <f t="shared" si="409"/>
        <v>387.743032170965</v>
      </c>
      <c r="BB423">
        <f t="shared" si="410"/>
        <v>1.56821729628861</v>
      </c>
      <c r="BC423" s="30" t="str">
        <f t="shared" si="411"/>
        <v>-0,00723133854448711+0,059920373323162i</v>
      </c>
      <c r="BD423" s="32">
        <f t="shared" si="412"/>
        <v>-24.3857142043583</v>
      </c>
      <c r="BE423" s="31">
        <f t="shared" si="413"/>
        <v>96.8813177556118</v>
      </c>
      <c r="BF423" s="30" t="str">
        <f t="shared" si="414"/>
        <v>0,148709115878048-0,307185541069024i</v>
      </c>
      <c r="BG423" s="68">
        <f t="shared" si="415"/>
        <v>-9.33758489606395</v>
      </c>
      <c r="BH423" s="31">
        <f t="shared" si="416"/>
        <v>-64.1682859518405</v>
      </c>
      <c r="BI423" s="30" t="str">
        <f t="shared" si="369"/>
        <v>0,799465590240486+0,272121876247955i</v>
      </c>
      <c r="BJ423" s="68">
        <f t="shared" si="417"/>
        <v>-1.46791378011986</v>
      </c>
      <c r="BK423" s="31">
        <f t="shared" si="370"/>
        <v>18.7975330553862</v>
      </c>
      <c r="BL423" s="32">
        <f t="shared" si="418"/>
        <v>-9.33758489606395</v>
      </c>
      <c r="BM423" s="31">
        <f t="shared" si="419"/>
        <v>-64.1682859518405</v>
      </c>
      <c r="BO423">
        <f t="shared" si="420"/>
        <v>0</v>
      </c>
      <c r="BP423">
        <f t="shared" si="421"/>
        <v>0</v>
      </c>
    </row>
    <row r="424" spans="14:68">
      <c r="N424" s="7">
        <v>6</v>
      </c>
      <c r="O424" s="18">
        <f t="shared" si="422"/>
        <v>114815.362149688</v>
      </c>
      <c r="P424" s="86" t="str">
        <f t="shared" si="372"/>
        <v>54,5454545454545</v>
      </c>
      <c r="Q424" s="4" t="str">
        <f t="shared" si="373"/>
        <v>1+1469,04534559475i</v>
      </c>
      <c r="R424" s="4">
        <f t="shared" si="384"/>
        <v>1469.0456859518</v>
      </c>
      <c r="S424" s="4">
        <f t="shared" si="385"/>
        <v>1.57011561271855</v>
      </c>
      <c r="T424" s="4" t="str">
        <f t="shared" si="374"/>
        <v>1+11,3116491610796i</v>
      </c>
      <c r="U424" s="4">
        <f t="shared" si="386"/>
        <v>11.3557653526019</v>
      </c>
      <c r="V424" s="4">
        <f t="shared" si="387"/>
        <v>1.48262111741706</v>
      </c>
      <c r="W424" t="str">
        <f t="shared" si="375"/>
        <v>1-32,4632788423841i</v>
      </c>
      <c r="X424" s="4">
        <f t="shared" si="388"/>
        <v>32.4786772082605</v>
      </c>
      <c r="Y424" s="4">
        <f t="shared" si="389"/>
        <v>-1.54000202876343</v>
      </c>
      <c r="Z424" t="str">
        <f t="shared" si="376"/>
        <v>0,892387205015804+2,24151211054556i</v>
      </c>
      <c r="AA424" s="4">
        <f t="shared" si="390"/>
        <v>2.41261921268117</v>
      </c>
      <c r="AB424" s="4">
        <f t="shared" si="391"/>
        <v>1.19191307420583</v>
      </c>
      <c r="AC424" s="67" t="str">
        <f t="shared" si="392"/>
        <v>-5,38403435908237-1,79726582605793i</v>
      </c>
      <c r="AD424" s="68">
        <f t="shared" si="393"/>
        <v>15.0809844816619</v>
      </c>
      <c r="AE424" s="31">
        <f t="shared" si="394"/>
        <v>-161.540270699588</v>
      </c>
      <c r="AF424" s="32" t="str">
        <f t="shared" si="395"/>
        <v>432,040091031901</v>
      </c>
      <c r="AG424" s="32" t="str">
        <f t="shared" si="377"/>
        <v>1+1196,99991122535i</v>
      </c>
      <c r="AH424" s="32">
        <f t="shared" si="396"/>
        <v>1197.00032893625</v>
      </c>
      <c r="AI424" s="32">
        <f t="shared" si="397"/>
        <v>1.56996090503924</v>
      </c>
      <c r="AJ424" s="32" t="str">
        <f t="shared" si="378"/>
        <v>1+11,3116491610796i</v>
      </c>
      <c r="AK424" s="32">
        <f t="shared" si="398"/>
        <v>11.3557653526019</v>
      </c>
      <c r="AL424" s="32">
        <f t="shared" si="399"/>
        <v>1.48262111741706</v>
      </c>
      <c r="AM424" s="32" t="str">
        <f t="shared" si="379"/>
        <v>1-3,3394617840889i</v>
      </c>
      <c r="AN424" s="32">
        <f t="shared" si="400"/>
        <v>3.48597260565688</v>
      </c>
      <c r="AO424" s="32">
        <f t="shared" si="401"/>
        <v>-1.27984469906402</v>
      </c>
      <c r="AP424" s="30" t="str">
        <f t="shared" si="402"/>
        <v>2,88913752937654-13,9928061031204i</v>
      </c>
      <c r="AQ424" s="32">
        <f t="shared" si="403"/>
        <v>23.0994031812758</v>
      </c>
      <c r="AR424" s="31">
        <f t="shared" si="404"/>
        <v>-78.3339009028794</v>
      </c>
      <c r="AS424" t="str">
        <f t="shared" si="380"/>
        <v>-0,000201496259351621</v>
      </c>
      <c r="AT424" t="str">
        <f t="shared" si="381"/>
        <v>0,162099972352971i</v>
      </c>
      <c r="AU424">
        <f t="shared" si="405"/>
        <v>0.162099972352971</v>
      </c>
      <c r="AV424">
        <f t="shared" si="406"/>
        <v>1.5707963267949</v>
      </c>
      <c r="AW424" t="str">
        <f t="shared" si="382"/>
        <v>1+8,29922126366639i</v>
      </c>
      <c r="AX424">
        <f t="shared" si="407"/>
        <v>8.35925077882536</v>
      </c>
      <c r="AY424">
        <f t="shared" si="408"/>
        <v>1.45088119808521</v>
      </c>
      <c r="AZ424" t="str">
        <f t="shared" si="383"/>
        <v>1+396,773408073582i</v>
      </c>
      <c r="BA424">
        <f t="shared" si="409"/>
        <v>396.774668236677</v>
      </c>
      <c r="BB424">
        <f t="shared" si="410"/>
        <v>1.56827600193868</v>
      </c>
      <c r="BC424" s="30" t="str">
        <f t="shared" si="411"/>
        <v>-0,00691053235981474+0,0585950740792636i</v>
      </c>
      <c r="BD424" s="32">
        <f t="shared" si="412"/>
        <v>-24.5827873954045</v>
      </c>
      <c r="BE424" s="31">
        <f t="shared" si="413"/>
        <v>96.7262267975702</v>
      </c>
      <c r="BF424" s="30" t="str">
        <f t="shared" si="414"/>
        <v>0,142517467882786-0,303057828465569i</v>
      </c>
      <c r="BG424" s="68">
        <f t="shared" si="415"/>
        <v>-9.50180291374261</v>
      </c>
      <c r="BH424" s="31">
        <f t="shared" si="416"/>
        <v>-64.8140439020182</v>
      </c>
      <c r="BI424" s="30" t="str">
        <f t="shared" si="369"/>
        <v>0,7999440318004+0,265986966939226i</v>
      </c>
      <c r="BJ424" s="68">
        <f t="shared" si="417"/>
        <v>-1.48338421412875</v>
      </c>
      <c r="BK424" s="31">
        <f t="shared" si="370"/>
        <v>18.3923258946908</v>
      </c>
      <c r="BL424" s="32">
        <f t="shared" si="418"/>
        <v>-9.50180291374261</v>
      </c>
      <c r="BM424" s="31">
        <f t="shared" si="419"/>
        <v>-64.8140439020182</v>
      </c>
      <c r="BO424">
        <f t="shared" si="420"/>
        <v>0</v>
      </c>
      <c r="BP424">
        <f t="shared" si="421"/>
        <v>0</v>
      </c>
    </row>
    <row r="425" spans="14:68">
      <c r="N425" s="7">
        <v>7</v>
      </c>
      <c r="O425" s="18">
        <f t="shared" si="422"/>
        <v>117489.755493953</v>
      </c>
      <c r="P425" s="86" t="str">
        <f t="shared" si="372"/>
        <v>54,5454545454545</v>
      </c>
      <c r="Q425" s="4" t="str">
        <f t="shared" si="373"/>
        <v>1+1503,26380748977i</v>
      </c>
      <c r="R425" s="4">
        <f t="shared" si="384"/>
        <v>1503.26414009935</v>
      </c>
      <c r="S425" s="4">
        <f t="shared" si="385"/>
        <v>1.57013110765803</v>
      </c>
      <c r="T425" s="4" t="str">
        <f t="shared" si="374"/>
        <v>1+11,5751313176713i</v>
      </c>
      <c r="U425" s="4">
        <f t="shared" si="386"/>
        <v>11.6182470717977</v>
      </c>
      <c r="V425" s="4">
        <f t="shared" si="387"/>
        <v>1.48461819290084</v>
      </c>
      <c r="W425" t="str">
        <f t="shared" si="375"/>
        <v>1-33,2194457458678i</v>
      </c>
      <c r="X425" s="4">
        <f t="shared" si="388"/>
        <v>33.2344937626956</v>
      </c>
      <c r="Y425" s="4">
        <f t="shared" si="389"/>
        <v>-1.54070256450747</v>
      </c>
      <c r="Z425" t="str">
        <f t="shared" si="376"/>
        <v>0,887315570236498+2,29372363483373i</v>
      </c>
      <c r="AA425" s="4">
        <f t="shared" si="390"/>
        <v>2.45936923502328</v>
      </c>
      <c r="AB425" s="4">
        <f t="shared" si="391"/>
        <v>1.2016816322458</v>
      </c>
      <c r="AC425" s="67" t="str">
        <f t="shared" si="392"/>
        <v>-5,41877249388767-1,75788823552727i</v>
      </c>
      <c r="AD425" s="68">
        <f t="shared" si="393"/>
        <v>15.1125841464574</v>
      </c>
      <c r="AE425" s="31">
        <f t="shared" si="394"/>
        <v>-162.026569386786</v>
      </c>
      <c r="AF425" s="32" t="str">
        <f t="shared" si="395"/>
        <v>432,040091031901</v>
      </c>
      <c r="AG425" s="32" t="str">
        <f t="shared" si="377"/>
        <v>1+1224,88162091759i</v>
      </c>
      <c r="AH425" s="32">
        <f t="shared" si="396"/>
        <v>1224.88202912023</v>
      </c>
      <c r="AI425" s="32">
        <f t="shared" si="397"/>
        <v>1.56997992155152</v>
      </c>
      <c r="AJ425" s="32" t="str">
        <f t="shared" si="378"/>
        <v>1+11,5751313176713i</v>
      </c>
      <c r="AK425" s="32">
        <f t="shared" si="398"/>
        <v>11.6182470717977</v>
      </c>
      <c r="AL425" s="32">
        <f t="shared" si="399"/>
        <v>1.48461819290084</v>
      </c>
      <c r="AM425" s="32" t="str">
        <f t="shared" si="379"/>
        <v>1-3,41724784164757i</v>
      </c>
      <c r="AN425" s="32">
        <f t="shared" si="400"/>
        <v>3.56055933966069</v>
      </c>
      <c r="AO425" s="32">
        <f t="shared" si="401"/>
        <v>-1.28611173818285</v>
      </c>
      <c r="AP425" s="30" t="str">
        <f t="shared" si="402"/>
        <v>2,8891240488885-14,3022284256026i</v>
      </c>
      <c r="AQ425" s="32">
        <f t="shared" si="403"/>
        <v>23.2817724380132</v>
      </c>
      <c r="AR425" s="31">
        <f t="shared" si="404"/>
        <v>-78.5796413637364</v>
      </c>
      <c r="AS425" t="str">
        <f t="shared" si="380"/>
        <v>-0,000201496259351621</v>
      </c>
      <c r="AT425" t="str">
        <f t="shared" si="381"/>
        <v>0,1658757657577i</v>
      </c>
      <c r="AU425">
        <f t="shared" si="405"/>
        <v>0.1658757657577</v>
      </c>
      <c r="AV425">
        <f t="shared" si="406"/>
        <v>1.5707963267949</v>
      </c>
      <c r="AW425" t="str">
        <f t="shared" si="382"/>
        <v>1+8,49253496049727i</v>
      </c>
      <c r="AX425">
        <f t="shared" si="407"/>
        <v>8.55120752030194</v>
      </c>
      <c r="AY425">
        <f t="shared" si="408"/>
        <v>1.45358558206863</v>
      </c>
      <c r="AZ425" t="str">
        <f t="shared" si="383"/>
        <v>1+406,01544800505i</v>
      </c>
      <c r="BA425">
        <f t="shared" si="409"/>
        <v>406.016679483419</v>
      </c>
      <c r="BB425">
        <f t="shared" si="410"/>
        <v>1.56833337130179</v>
      </c>
      <c r="BC425" s="30" t="str">
        <f t="shared" si="411"/>
        <v>-0,00660376061263116+0,0572974098729436i</v>
      </c>
      <c r="BD425" s="32">
        <f t="shared" si="412"/>
        <v>-24.7799904704323</v>
      </c>
      <c r="BE425" s="31">
        <f t="shared" si="413"/>
        <v>96.5745640315169</v>
      </c>
      <c r="BF425" s="30" t="str">
        <f t="shared" si="414"/>
        <v>0,136506719105776-0,298872955499332i</v>
      </c>
      <c r="BG425" s="68">
        <f t="shared" si="415"/>
        <v>-9.66740632397489</v>
      </c>
      <c r="BH425" s="31">
        <f t="shared" si="416"/>
        <v>-65.4520053552692</v>
      </c>
      <c r="BI425" s="30" t="str">
        <f t="shared" si="369"/>
        <v>0,800401560599162+0,259987817552791i</v>
      </c>
      <c r="BJ425" s="68">
        <f t="shared" si="417"/>
        <v>-1.49821803241913</v>
      </c>
      <c r="BK425" s="31">
        <f t="shared" si="370"/>
        <v>17.9949226677805</v>
      </c>
      <c r="BL425" s="32">
        <f t="shared" si="418"/>
        <v>-9.66740632397489</v>
      </c>
      <c r="BM425" s="31">
        <f t="shared" si="419"/>
        <v>-65.4520053552692</v>
      </c>
      <c r="BO425">
        <f t="shared" si="420"/>
        <v>0</v>
      </c>
      <c r="BP425">
        <f t="shared" si="421"/>
        <v>0</v>
      </c>
    </row>
    <row r="426" spans="14:68">
      <c r="N426" s="7">
        <v>8</v>
      </c>
      <c r="O426" s="18">
        <f t="shared" si="422"/>
        <v>120226.443461741</v>
      </c>
      <c r="P426" s="86" t="str">
        <f t="shared" si="372"/>
        <v>54,5454545454545</v>
      </c>
      <c r="Q426" s="4" t="str">
        <f t="shared" si="373"/>
        <v>1+1538,27931975356i</v>
      </c>
      <c r="R426" s="4">
        <f t="shared" si="384"/>
        <v>1538.27964479202</v>
      </c>
      <c r="S426" s="4">
        <f t="shared" si="385"/>
        <v>1.57014624988995</v>
      </c>
      <c r="T426" s="4" t="str">
        <f t="shared" si="374"/>
        <v>1+11,8447507621024i</v>
      </c>
      <c r="U426" s="4">
        <f t="shared" si="386"/>
        <v>11.8868886011574</v>
      </c>
      <c r="V426" s="4">
        <f t="shared" si="387"/>
        <v>1.48657047550616</v>
      </c>
      <c r="W426" t="str">
        <f t="shared" si="375"/>
        <v>1-33,9932260391971i</v>
      </c>
      <c r="X426" s="4">
        <f t="shared" si="388"/>
        <v>34.0079316711844</v>
      </c>
      <c r="Y426" s="4">
        <f t="shared" si="389"/>
        <v>-1.54138718266219</v>
      </c>
      <c r="Z426" t="str">
        <f t="shared" si="376"/>
        <v>0,882004916673802+2,34715132175408i</v>
      </c>
      <c r="AA426" s="4">
        <f t="shared" si="390"/>
        <v>2.50739944967863</v>
      </c>
      <c r="AB426" s="4">
        <f t="shared" si="391"/>
        <v>1.21134483626248</v>
      </c>
      <c r="AC426" s="67" t="str">
        <f t="shared" si="392"/>
        <v>-5,45240223492525-1,71825013049892i</v>
      </c>
      <c r="AD426" s="68">
        <f t="shared" si="393"/>
        <v>15.1429631558684</v>
      </c>
      <c r="AE426" s="31">
        <f t="shared" si="394"/>
        <v>-162.508465956638</v>
      </c>
      <c r="AF426" s="32" t="str">
        <f t="shared" si="395"/>
        <v>432,040091031901</v>
      </c>
      <c r="AG426" s="32" t="str">
        <f t="shared" si="377"/>
        <v>1+1253,41277905846i</v>
      </c>
      <c r="AH426" s="32">
        <f t="shared" si="396"/>
        <v>1253.41317796928</v>
      </c>
      <c r="AI426" s="32">
        <f t="shared" si="397"/>
        <v>1.56999850519571</v>
      </c>
      <c r="AJ426" s="32" t="str">
        <f t="shared" si="378"/>
        <v>1+11,8447507621024i</v>
      </c>
      <c r="AK426" s="32">
        <f t="shared" si="398"/>
        <v>11.8868886011574</v>
      </c>
      <c r="AL426" s="32">
        <f t="shared" si="399"/>
        <v>1.48657047550616</v>
      </c>
      <c r="AM426" s="32" t="str">
        <f t="shared" si="379"/>
        <v>1-3,49684576924447i</v>
      </c>
      <c r="AN426" s="32">
        <f t="shared" si="400"/>
        <v>3.63702217945986</v>
      </c>
      <c r="AO426" s="32">
        <f t="shared" si="401"/>
        <v>-1.29225841413164</v>
      </c>
      <c r="AP426" s="30" t="str">
        <f t="shared" si="402"/>
        <v>2,88911117512152-14,6192339779171i</v>
      </c>
      <c r="AQ426" s="32">
        <f t="shared" si="403"/>
        <v>23.4648786939447</v>
      </c>
      <c r="AR426" s="31">
        <f t="shared" si="404"/>
        <v>-78.8210271643154</v>
      </c>
      <c r="AS426" t="str">
        <f t="shared" si="380"/>
        <v>-0,000201496259351621</v>
      </c>
      <c r="AT426" t="str">
        <f t="shared" si="381"/>
        <v>0,169739508689057i</v>
      </c>
      <c r="AU426">
        <f t="shared" si="405"/>
        <v>0.169739508689057</v>
      </c>
      <c r="AV426">
        <f t="shared" si="406"/>
        <v>1.5707963267949</v>
      </c>
      <c r="AW426" t="str">
        <f t="shared" si="382"/>
        <v>1+8,69035151177614i</v>
      </c>
      <c r="AX426">
        <f t="shared" si="407"/>
        <v>8.74769737692325</v>
      </c>
      <c r="AY426">
        <f t="shared" si="408"/>
        <v>1.45623007211031</v>
      </c>
      <c r="AZ426" t="str">
        <f t="shared" si="383"/>
        <v>1+415,472762701297i</v>
      </c>
      <c r="BA426">
        <f t="shared" si="409"/>
        <v>415.473966147878</v>
      </c>
      <c r="BB426">
        <f t="shared" si="410"/>
        <v>1.56838943479443</v>
      </c>
      <c r="BC426" s="30" t="str">
        <f t="shared" si="411"/>
        <v>-0,00631042650236999+0,0560269155905138i</v>
      </c>
      <c r="BD426" s="32">
        <f t="shared" si="412"/>
        <v>-24.9773177437919</v>
      </c>
      <c r="BE426" s="31">
        <f t="shared" si="413"/>
        <v>96.426258114677</v>
      </c>
      <c r="BF426" s="30" t="str">
        <f t="shared" si="414"/>
        <v>0,130675238589706-0,294638388620485i</v>
      </c>
      <c r="BG426" s="68">
        <f t="shared" si="415"/>
        <v>-9.83435458792347</v>
      </c>
      <c r="BH426" s="31">
        <f t="shared" si="416"/>
        <v>-66.0822078419613</v>
      </c>
      <c r="BI426" s="30" t="str">
        <f t="shared" si="369"/>
        <v>0,800839064350953+0,254121589478739i</v>
      </c>
      <c r="BJ426" s="68">
        <f t="shared" si="417"/>
        <v>-1.51243904984717</v>
      </c>
      <c r="BK426" s="31">
        <f t="shared" si="370"/>
        <v>17.6052309503616</v>
      </c>
      <c r="BL426" s="32">
        <f t="shared" si="418"/>
        <v>-9.83435458792347</v>
      </c>
      <c r="BM426" s="31">
        <f t="shared" si="419"/>
        <v>-66.0822078419613</v>
      </c>
      <c r="BO426">
        <f t="shared" si="420"/>
        <v>0</v>
      </c>
      <c r="BP426">
        <f t="shared" si="421"/>
        <v>0</v>
      </c>
    </row>
    <row r="427" spans="14:68">
      <c r="N427" s="7">
        <v>9</v>
      </c>
      <c r="O427" s="18">
        <f t="shared" si="422"/>
        <v>123026.877081238</v>
      </c>
      <c r="P427" s="86" t="str">
        <f t="shared" si="372"/>
        <v>54,5454545454545</v>
      </c>
      <c r="Q427" s="4" t="str">
        <f t="shared" si="373"/>
        <v>1+1574,11044807423i</v>
      </c>
      <c r="R427" s="4">
        <f t="shared" si="384"/>
        <v>1574.11076571392</v>
      </c>
      <c r="S427" s="4">
        <f t="shared" si="385"/>
        <v>1.57016104744287</v>
      </c>
      <c r="T427" s="4" t="str">
        <f t="shared" si="374"/>
        <v>1+12,1206504501716i</v>
      </c>
      <c r="U427" s="4">
        <f t="shared" si="386"/>
        <v>12.1618324003928</v>
      </c>
      <c r="V427" s="4">
        <f t="shared" si="387"/>
        <v>1.48847894079847</v>
      </c>
      <c r="W427" t="str">
        <f t="shared" si="375"/>
        <v>1-34,7850299909261i</v>
      </c>
      <c r="X427" s="4">
        <f t="shared" si="388"/>
        <v>34.7994010217077</v>
      </c>
      <c r="Y427" s="4">
        <f t="shared" si="389"/>
        <v>-1.54205624365266</v>
      </c>
      <c r="Z427" t="str">
        <f t="shared" si="376"/>
        <v>0,876443979719493+2,40182349937347i</v>
      </c>
      <c r="AA427" s="4">
        <f t="shared" si="390"/>
        <v>2.55673818990705</v>
      </c>
      <c r="AB427" s="4">
        <f t="shared" si="391"/>
        <v>1.22090288950197</v>
      </c>
      <c r="AC427" s="67" t="str">
        <f t="shared" si="392"/>
        <v>-5,4849353490644-1,67838519386824i</v>
      </c>
      <c r="AD427" s="68">
        <f t="shared" si="393"/>
        <v>15.172156010399</v>
      </c>
      <c r="AE427" s="31">
        <f t="shared" si="394"/>
        <v>-162.985937269346</v>
      </c>
      <c r="AF427" s="32" t="str">
        <f t="shared" si="395"/>
        <v>432,040091031901</v>
      </c>
      <c r="AG427" s="32" t="str">
        <f t="shared" si="377"/>
        <v>1+1282,60851324567i</v>
      </c>
      <c r="AH427" s="32">
        <f t="shared" si="396"/>
        <v>1282.60890307617</v>
      </c>
      <c r="AI427" s="32">
        <f t="shared" si="397"/>
        <v>1.57001666582505</v>
      </c>
      <c r="AJ427" s="32" t="str">
        <f t="shared" si="378"/>
        <v>1+12,1206504501716i</v>
      </c>
      <c r="AK427" s="32">
        <f t="shared" si="398"/>
        <v>12.1618324003928</v>
      </c>
      <c r="AL427" s="32">
        <f t="shared" si="399"/>
        <v>1.48847894079847</v>
      </c>
      <c r="AM427" s="32" t="str">
        <f t="shared" si="379"/>
        <v>1-3,57829777075448i</v>
      </c>
      <c r="AN427" s="32">
        <f t="shared" si="400"/>
        <v>3.71540239222974</v>
      </c>
      <c r="AO427" s="32">
        <f t="shared" si="401"/>
        <v>-1.29828612739199</v>
      </c>
      <c r="AP427" s="30" t="str">
        <f t="shared" si="402"/>
        <v>2,88909888076884-14,9439908406708i</v>
      </c>
      <c r="AQ427" s="32">
        <f t="shared" si="403"/>
        <v>23.6486933861284</v>
      </c>
      <c r="AR427" s="31">
        <f t="shared" si="404"/>
        <v>-79.0580832150657</v>
      </c>
      <c r="AS427" t="str">
        <f t="shared" si="380"/>
        <v>-0,000201496259351621</v>
      </c>
      <c r="AT427" t="str">
        <f t="shared" si="381"/>
        <v>0,173693249754691i</v>
      </c>
      <c r="AU427">
        <f t="shared" si="405"/>
        <v>0.173693249754691</v>
      </c>
      <c r="AV427">
        <f t="shared" si="406"/>
        <v>1.5707963267949</v>
      </c>
      <c r="AW427" t="str">
        <f t="shared" si="382"/>
        <v>1+8,892775802457i</v>
      </c>
      <c r="AX427">
        <f t="shared" si="407"/>
        <v>8.94882458609871</v>
      </c>
      <c r="AY427">
        <f t="shared" si="408"/>
        <v>1.45881592232379</v>
      </c>
      <c r="AZ427" t="str">
        <f t="shared" si="383"/>
        <v>1+425,150366555763i</v>
      </c>
      <c r="BA427">
        <f t="shared" si="409"/>
        <v>425.151542608632</v>
      </c>
      <c r="BB427">
        <f t="shared" si="410"/>
        <v>1.5684442221408</v>
      </c>
      <c r="BC427" s="30" t="str">
        <f t="shared" si="411"/>
        <v>-0,0060299571127423+0,0547831263054219i</v>
      </c>
      <c r="BD427" s="32">
        <f t="shared" si="412"/>
        <v>-25.1747637719202</v>
      </c>
      <c r="BE427" s="31">
        <f t="shared" si="413"/>
        <v>96.2812388947097</v>
      </c>
      <c r="BF427" s="30" t="str">
        <f t="shared" si="414"/>
        <v>0,125021112985856-0,290361315267181i</v>
      </c>
      <c r="BG427" s="68">
        <f t="shared" si="415"/>
        <v>-10.0026077615213</v>
      </c>
      <c r="BH427" s="31">
        <f t="shared" si="416"/>
        <v>-66.7046983746366</v>
      </c>
      <c r="BI427" s="30" t="str">
        <f t="shared" si="369"/>
        <v>0,801257395386029+0,248385492756471i</v>
      </c>
      <c r="BJ427" s="68">
        <f t="shared" si="417"/>
        <v>-1.52607038579179</v>
      </c>
      <c r="BK427" s="31">
        <f t="shared" si="370"/>
        <v>17.2231556796439</v>
      </c>
      <c r="BL427" s="32">
        <f t="shared" si="418"/>
        <v>-10.0026077615213</v>
      </c>
      <c r="BM427" s="31">
        <f t="shared" si="419"/>
        <v>-66.7046983746366</v>
      </c>
      <c r="BO427">
        <f t="shared" si="420"/>
        <v>0</v>
      </c>
      <c r="BP427">
        <f t="shared" si="421"/>
        <v>0</v>
      </c>
    </row>
    <row r="428" spans="14:68">
      <c r="N428" s="7">
        <v>10</v>
      </c>
      <c r="O428" s="18">
        <f t="shared" si="422"/>
        <v>125892.541179417</v>
      </c>
      <c r="P428" s="86" t="str">
        <f t="shared" si="372"/>
        <v>54,5454545454545</v>
      </c>
      <c r="Q428" s="4" t="str">
        <f t="shared" si="373"/>
        <v>1+1610,77619059028i</v>
      </c>
      <c r="R428" s="4">
        <f t="shared" si="384"/>
        <v>1610.77650099961</v>
      </c>
      <c r="S428" s="4">
        <f t="shared" si="385"/>
        <v>1.57017550816263</v>
      </c>
      <c r="T428" s="4" t="str">
        <f t="shared" si="374"/>
        <v>1+12,4029766675452i</v>
      </c>
      <c r="U428" s="4">
        <f t="shared" si="386"/>
        <v>12.4432242692829</v>
      </c>
      <c r="V428" s="4">
        <f t="shared" si="387"/>
        <v>1.4903445450317</v>
      </c>
      <c r="W428" t="str">
        <f t="shared" si="375"/>
        <v>1-35,5952774259907i</v>
      </c>
      <c r="X428" s="4">
        <f t="shared" si="388"/>
        <v>35.6093214626907</v>
      </c>
      <c r="Y428" s="4">
        <f t="shared" si="389"/>
        <v>-1.54271009982651</v>
      </c>
      <c r="Z428" t="str">
        <f t="shared" si="376"/>
        <v>0,870620963880724+2,45776915560412i</v>
      </c>
      <c r="AA428" s="4">
        <f t="shared" si="390"/>
        <v>2.60741444442336</v>
      </c>
      <c r="AB428" s="4">
        <f t="shared" si="391"/>
        <v>1.23035616401638</v>
      </c>
      <c r="AC428" s="67" t="str">
        <f t="shared" si="392"/>
        <v>-5,51638490121924-1,63832545444139i</v>
      </c>
      <c r="AD428" s="68">
        <f t="shared" si="393"/>
        <v>15.2001967966278</v>
      </c>
      <c r="AE428" s="31">
        <f t="shared" si="394"/>
        <v>-163.458970490176</v>
      </c>
      <c r="AF428" s="32" t="str">
        <f t="shared" si="395"/>
        <v>432,040091031901</v>
      </c>
      <c r="AG428" s="32" t="str">
        <f t="shared" si="377"/>
        <v>1+1312,48430344393i</v>
      </c>
      <c r="AH428" s="32">
        <f t="shared" si="396"/>
        <v>1312.48468440081</v>
      </c>
      <c r="AI428" s="32">
        <f t="shared" si="397"/>
        <v>1.57003441306848</v>
      </c>
      <c r="AJ428" s="32" t="str">
        <f t="shared" si="378"/>
        <v>1+12,4029766675452i</v>
      </c>
      <c r="AK428" s="32">
        <f t="shared" si="398"/>
        <v>12.4432242692829</v>
      </c>
      <c r="AL428" s="32">
        <f t="shared" si="399"/>
        <v>1.4903445450317</v>
      </c>
      <c r="AM428" s="32" t="str">
        <f t="shared" si="379"/>
        <v>1-3,66164703310692i</v>
      </c>
      <c r="AN428" s="32">
        <f t="shared" si="400"/>
        <v>3.7957422192584</v>
      </c>
      <c r="AO428" s="32">
        <f t="shared" si="401"/>
        <v>-1.30419632119418</v>
      </c>
      <c r="AP428" s="30" t="str">
        <f t="shared" si="402"/>
        <v>2,8890871397525-15,2766712043122i</v>
      </c>
      <c r="AQ428" s="32">
        <f t="shared" si="403"/>
        <v>23.8331888755425</v>
      </c>
      <c r="AR428" s="31">
        <f t="shared" si="404"/>
        <v>-79.2908379693771</v>
      </c>
      <c r="AS428" t="str">
        <f t="shared" si="380"/>
        <v>-0,000201496259351621</v>
      </c>
      <c r="AT428" t="str">
        <f t="shared" si="381"/>
        <v>0,177739085280447i</v>
      </c>
      <c r="AU428">
        <f t="shared" si="405"/>
        <v>0.177739085280447</v>
      </c>
      <c r="AV428">
        <f t="shared" si="406"/>
        <v>1.5707963267949</v>
      </c>
      <c r="AW428" t="str">
        <f t="shared" si="382"/>
        <v>1+9,09991516057814i</v>
      </c>
      <c r="AX428">
        <f t="shared" si="407"/>
        <v>9.15469584037175</v>
      </c>
      <c r="AY428">
        <f t="shared" si="408"/>
        <v>1.4613443653614</v>
      </c>
      <c r="AZ428" t="str">
        <f t="shared" si="383"/>
        <v>1+435,053390762107i</v>
      </c>
      <c r="BA428">
        <f t="shared" si="409"/>
        <v>435.054540044816</v>
      </c>
      <c r="BB428">
        <f t="shared" si="410"/>
        <v>1.56849776238855</v>
      </c>
      <c r="BC428" s="30" t="str">
        <f t="shared" si="411"/>
        <v>-0,0057618025872167+0,0535655779109877i</v>
      </c>
      <c r="BD428" s="32">
        <f t="shared" si="412"/>
        <v>-25.3723233436248</v>
      </c>
      <c r="BE428" s="31">
        <f t="shared" si="413"/>
        <v>96.1394374101451</v>
      </c>
      <c r="BF428" s="30" t="str">
        <f t="shared" si="414"/>
        <v>0,119542170569363-0,286048637371152i</v>
      </c>
      <c r="BG428" s="68">
        <f t="shared" si="415"/>
        <v>-10.1721265469971</v>
      </c>
      <c r="BH428" s="31">
        <f t="shared" si="416"/>
        <v>-67.3195330800308</v>
      </c>
      <c r="BI428" s="30" t="str">
        <f t="shared" si="369"/>
        <v>0,801657371858607+0,24277678594511i</v>
      </c>
      <c r="BJ428" s="68">
        <f t="shared" si="417"/>
        <v>-1.53913446808233</v>
      </c>
      <c r="BK428" s="31">
        <f t="shared" si="370"/>
        <v>16.848599440768</v>
      </c>
      <c r="BL428" s="32">
        <f t="shared" si="418"/>
        <v>-10.1721265469971</v>
      </c>
      <c r="BM428" s="31">
        <f t="shared" si="419"/>
        <v>-67.3195330800308</v>
      </c>
      <c r="BO428">
        <f t="shared" si="420"/>
        <v>0</v>
      </c>
      <c r="BP428">
        <f t="shared" si="421"/>
        <v>0</v>
      </c>
    </row>
    <row r="429" spans="14:68">
      <c r="N429" s="7">
        <v>11</v>
      </c>
      <c r="O429" s="18">
        <f t="shared" si="422"/>
        <v>128824.955169314</v>
      </c>
      <c r="P429" s="86" t="str">
        <f t="shared" si="372"/>
        <v>54,5454545454545</v>
      </c>
      <c r="Q429" s="4" t="str">
        <f t="shared" si="373"/>
        <v>1+1648,29598796373i</v>
      </c>
      <c r="R429" s="4">
        <f t="shared" si="384"/>
        <v>1648.29629130728</v>
      </c>
      <c r="S429" s="4">
        <f t="shared" si="385"/>
        <v>1.57018963971648</v>
      </c>
      <c r="T429" s="4" t="str">
        <f t="shared" si="374"/>
        <v>1+12,6918791073207i</v>
      </c>
      <c r="U429" s="4">
        <f t="shared" si="386"/>
        <v>12.7312134250763</v>
      </c>
      <c r="V429" s="4">
        <f t="shared" si="387"/>
        <v>1.4921682253994</v>
      </c>
      <c r="W429" t="str">
        <f t="shared" si="375"/>
        <v>1-36,4243979483057i</v>
      </c>
      <c r="X429" s="4">
        <f t="shared" si="388"/>
        <v>36.4381224255111</v>
      </c>
      <c r="Y429" s="4">
        <f t="shared" si="389"/>
        <v>-1.54334909562932</v>
      </c>
      <c r="Z429" t="str">
        <f t="shared" si="376"/>
        <v>0,864523517760197+2,51501795357348i</v>
      </c>
      <c r="AA429" s="4">
        <f t="shared" si="390"/>
        <v>2.65945788076394</v>
      </c>
      <c r="AB429" s="4">
        <f t="shared" si="391"/>
        <v>1.23970519418827</v>
      </c>
      <c r="AC429" s="67" t="str">
        <f t="shared" si="392"/>
        <v>-5,54676512098954-1,59810126133258i</v>
      </c>
      <c r="AD429" s="68">
        <f t="shared" si="393"/>
        <v>15.2271191309309</v>
      </c>
      <c r="AE429" s="31">
        <f t="shared" si="394"/>
        <v>-163.927562714337</v>
      </c>
      <c r="AF429" s="32" t="str">
        <f t="shared" si="395"/>
        <v>432,040091031901</v>
      </c>
      <c r="AG429" s="32" t="str">
        <f t="shared" si="377"/>
        <v>1+1343,05599019267i</v>
      </c>
      <c r="AH429" s="32">
        <f t="shared" si="396"/>
        <v>1343.05636247792</v>
      </c>
      <c r="AI429" s="32">
        <f t="shared" si="397"/>
        <v>1.5700517563358</v>
      </c>
      <c r="AJ429" s="32" t="str">
        <f t="shared" si="378"/>
        <v>1+12,6918791073207i</v>
      </c>
      <c r="AK429" s="32">
        <f t="shared" si="398"/>
        <v>12.7312134250763</v>
      </c>
      <c r="AL429" s="32">
        <f t="shared" si="399"/>
        <v>1.4921682253994</v>
      </c>
      <c r="AM429" s="32" t="str">
        <f t="shared" si="379"/>
        <v>1-3,74693774918393i</v>
      </c>
      <c r="AN429" s="32">
        <f t="shared" si="400"/>
        <v>3.87808490059972</v>
      </c>
      <c r="AO429" s="32">
        <f t="shared" si="401"/>
        <v>-1.30999047697801</v>
      </c>
      <c r="AP429" s="30" t="str">
        <f t="shared" si="402"/>
        <v>2,88907592716833-15,6174514604311i</v>
      </c>
      <c r="AQ429" s="32">
        <f t="shared" si="403"/>
        <v>24.0183384321959</v>
      </c>
      <c r="AR429" s="31">
        <f t="shared" si="404"/>
        <v>-79.5193231494026</v>
      </c>
      <c r="AS429" t="str">
        <f t="shared" si="380"/>
        <v>-0,000201496259351621</v>
      </c>
      <c r="AT429" t="str">
        <f t="shared" si="381"/>
        <v>0,181879160421873i</v>
      </c>
      <c r="AU429">
        <f t="shared" si="405"/>
        <v>0.181879160421873</v>
      </c>
      <c r="AV429">
        <f t="shared" si="406"/>
        <v>1.5707963267949</v>
      </c>
      <c r="AW429" t="str">
        <f t="shared" si="382"/>
        <v>1+9,31187941416902i</v>
      </c>
      <c r="AX429">
        <f t="shared" si="407"/>
        <v>9.36542034422507</v>
      </c>
      <c r="AY429">
        <f t="shared" si="408"/>
        <v>1.4638166124518</v>
      </c>
      <c r="AZ429" t="str">
        <f t="shared" si="383"/>
        <v>1+445,187086034846i</v>
      </c>
      <c r="BA429">
        <f t="shared" si="409"/>
        <v>445.188209156754</v>
      </c>
      <c r="BB429">
        <f t="shared" si="410"/>
        <v>1.5685500839242</v>
      </c>
      <c r="BC429" s="30" t="str">
        <f t="shared" si="411"/>
        <v>-0,00550543532100289+0,0523738077021764i</v>
      </c>
      <c r="BD429" s="32">
        <f t="shared" si="412"/>
        <v>-25.5699914707063</v>
      </c>
      <c r="BE429" s="31">
        <f t="shared" si="413"/>
        <v>96.0007858891225</v>
      </c>
      <c r="BF429" s="30" t="str">
        <f t="shared" si="414"/>
        <v>0,114236004764041-0,281706966685166i</v>
      </c>
      <c r="BG429" s="68">
        <f t="shared" si="415"/>
        <v>-10.3428723397754</v>
      </c>
      <c r="BH429" s="31">
        <f t="shared" si="416"/>
        <v>-67.926776825214</v>
      </c>
      <c r="BI429" s="30" t="str">
        <f t="shared" si="369"/>
        <v>0,802039778932201+0,237292775940807i</v>
      </c>
      <c r="BJ429" s="68">
        <f t="shared" si="417"/>
        <v>-1.55165303851037</v>
      </c>
      <c r="BK429" s="31">
        <f t="shared" si="370"/>
        <v>16.4814627397199</v>
      </c>
      <c r="BL429" s="32">
        <f t="shared" si="418"/>
        <v>-10.3428723397754</v>
      </c>
      <c r="BM429" s="31">
        <f t="shared" si="419"/>
        <v>-67.926776825214</v>
      </c>
      <c r="BO429">
        <f t="shared" si="420"/>
        <v>0</v>
      </c>
      <c r="BP429">
        <f t="shared" si="421"/>
        <v>0</v>
      </c>
    </row>
    <row r="430" spans="14:68">
      <c r="N430" s="7">
        <v>12</v>
      </c>
      <c r="O430" s="18">
        <f t="shared" si="422"/>
        <v>131825.673855641</v>
      </c>
      <c r="P430" s="86" t="str">
        <f t="shared" si="372"/>
        <v>54,5454545454545</v>
      </c>
      <c r="Q430" s="4" t="str">
        <f t="shared" si="373"/>
        <v>1+1686,68973368776i</v>
      </c>
      <c r="R430" s="4">
        <f t="shared" si="384"/>
        <v>1686.69003012637</v>
      </c>
      <c r="S430" s="4">
        <f t="shared" si="385"/>
        <v>1.57020344959712</v>
      </c>
      <c r="T430" s="4" t="str">
        <f t="shared" si="374"/>
        <v>1+12,9875109493958i</v>
      </c>
      <c r="U430" s="4">
        <f t="shared" si="386"/>
        <v>13.0259525816992</v>
      </c>
      <c r="V430" s="4">
        <f t="shared" si="387"/>
        <v>1.49395090029224</v>
      </c>
      <c r="W430" t="str">
        <f t="shared" si="375"/>
        <v>1-37,2728311685466i</v>
      </c>
      <c r="X430" s="4">
        <f t="shared" si="388"/>
        <v>37.2862433521933</v>
      </c>
      <c r="Y430" s="4">
        <f t="shared" si="389"/>
        <v>-1.54397356777662</v>
      </c>
      <c r="Z430" t="str">
        <f t="shared" si="376"/>
        <v>0,858138707857192+2,57360024735202i</v>
      </c>
      <c r="AA430" s="4">
        <f t="shared" si="390"/>
        <v>2.7128988693081</v>
      </c>
      <c r="AB430" s="4">
        <f t="shared" si="391"/>
        <v>1.24895067017474</v>
      </c>
      <c r="AC430" s="67" t="str">
        <f t="shared" si="392"/>
        <v>-5,57609127253164-1,55774126788883i</v>
      </c>
      <c r="AD430" s="68">
        <f t="shared" si="393"/>
        <v>15.2529561080426</v>
      </c>
      <c r="AE430" s="31">
        <f t="shared" si="394"/>
        <v>-164.391720586687</v>
      </c>
      <c r="AF430" s="32" t="str">
        <f t="shared" si="395"/>
        <v>432,040091031901</v>
      </c>
      <c r="AG430" s="32" t="str">
        <f t="shared" si="377"/>
        <v>1+1374,33978300484i</v>
      </c>
      <c r="AH430" s="32">
        <f t="shared" si="396"/>
        <v>1374.34014681584</v>
      </c>
      <c r="AI430" s="32">
        <f t="shared" si="397"/>
        <v>1.5700687048226</v>
      </c>
      <c r="AJ430" s="32" t="str">
        <f t="shared" si="378"/>
        <v>1+12,9875109493958i</v>
      </c>
      <c r="AK430" s="32">
        <f t="shared" si="398"/>
        <v>13.0259525816992</v>
      </c>
      <c r="AL430" s="32">
        <f t="shared" si="399"/>
        <v>1.49395090029224</v>
      </c>
      <c r="AM430" s="32" t="str">
        <f t="shared" si="379"/>
        <v>1-3,83421514125213i</v>
      </c>
      <c r="AN430" s="32">
        <f t="shared" si="400"/>
        <v>3.96247470015988</v>
      </c>
      <c r="AO430" s="32">
        <f t="shared" si="401"/>
        <v>-1.31567011006659</v>
      </c>
      <c r="AP430" s="30" t="str">
        <f t="shared" si="402"/>
        <v>2,88906521923306-15,9665122952843i</v>
      </c>
      <c r="AQ430" s="32">
        <f t="shared" si="403"/>
        <v>24.2041162191402</v>
      </c>
      <c r="AR430" s="31">
        <f t="shared" si="404"/>
        <v>-79.7435734837196</v>
      </c>
      <c r="AS430" t="str">
        <f t="shared" si="380"/>
        <v>-0,000201496259351621</v>
      </c>
      <c r="AT430" t="str">
        <f t="shared" si="381"/>
        <v>0,186115670301609i</v>
      </c>
      <c r="AU430">
        <f t="shared" si="405"/>
        <v>0.186115670301609</v>
      </c>
      <c r="AV430">
        <f t="shared" si="406"/>
        <v>1.5707963267949</v>
      </c>
      <c r="AW430" t="str">
        <f t="shared" si="382"/>
        <v>1+9,52878094948255i</v>
      </c>
      <c r="AX430">
        <f t="shared" si="407"/>
        <v>9.58110987220278</v>
      </c>
      <c r="AY430">
        <f t="shared" si="408"/>
        <v>1.46623385346425</v>
      </c>
      <c r="AZ430" t="str">
        <f t="shared" si="383"/>
        <v>1+455,556825393346i</v>
      </c>
      <c r="BA430">
        <f t="shared" si="409"/>
        <v>455.55792294994</v>
      </c>
      <c r="BB430">
        <f t="shared" si="410"/>
        <v>1.56860121448819</v>
      </c>
      <c r="BC430" s="30" t="str">
        <f t="shared" si="411"/>
        <v>-0,00526034917043117+0,0512073549094033i</v>
      </c>
      <c r="BD430" s="32">
        <f t="shared" si="412"/>
        <v>-25.7677633789114</v>
      </c>
      <c r="BE430" s="31">
        <f t="shared" si="413"/>
        <v>95.8652177465635</v>
      </c>
      <c r="BF430" s="30" t="str">
        <f t="shared" si="414"/>
        <v>0,109099997061517-0,277342621813469i</v>
      </c>
      <c r="BG430" s="68">
        <f t="shared" si="415"/>
        <v>-10.5148072708688</v>
      </c>
      <c r="BH430" s="31">
        <f t="shared" si="416"/>
        <v>-68.5265028401241</v>
      </c>
      <c r="BI430" s="30" t="str">
        <f t="shared" si="369"/>
        <v>0,80240536994066+0,231930817744858i</v>
      </c>
      <c r="BJ430" s="68">
        <f t="shared" si="417"/>
        <v>-1.56364715977123</v>
      </c>
      <c r="BK430" s="31">
        <f t="shared" si="370"/>
        <v>16.1216442628439</v>
      </c>
      <c r="BL430" s="32">
        <f t="shared" si="418"/>
        <v>-10.5148072708688</v>
      </c>
      <c r="BM430" s="31">
        <f t="shared" si="419"/>
        <v>-68.5265028401241</v>
      </c>
      <c r="BO430">
        <f t="shared" si="420"/>
        <v>0</v>
      </c>
      <c r="BP430">
        <f t="shared" si="421"/>
        <v>0</v>
      </c>
    </row>
    <row r="431" spans="14:68">
      <c r="N431" s="7">
        <v>13</v>
      </c>
      <c r="O431" s="18">
        <f t="shared" si="422"/>
        <v>134896.288259165</v>
      </c>
      <c r="P431" s="86" t="str">
        <f t="shared" si="372"/>
        <v>54,5454545454545</v>
      </c>
      <c r="Q431" s="4" t="str">
        <f t="shared" si="373"/>
        <v>1+1725,97778463457i</v>
      </c>
      <c r="R431" s="4">
        <f t="shared" si="384"/>
        <v>1725.97807432541</v>
      </c>
      <c r="S431" s="4">
        <f t="shared" si="385"/>
        <v>1.57021694512672</v>
      </c>
      <c r="T431" s="4" t="str">
        <f t="shared" si="374"/>
        <v>1+13,2900289416862i</v>
      </c>
      <c r="U431" s="4">
        <f t="shared" si="386"/>
        <v>13.3275980308102</v>
      </c>
      <c r="V431" s="4">
        <f t="shared" si="387"/>
        <v>1.49569346956101</v>
      </c>
      <c r="W431" t="str">
        <f t="shared" si="375"/>
        <v>1-38,1410269372372i</v>
      </c>
      <c r="X431" s="4">
        <f t="shared" si="388"/>
        <v>38.1541339284101</v>
      </c>
      <c r="Y431" s="4">
        <f t="shared" si="389"/>
        <v>-1.54458384542254</v>
      </c>
      <c r="Z431" t="str">
        <f t="shared" si="376"/>
        <v>0,851452991133879+2,63354709804733i</v>
      </c>
      <c r="AA431" s="4">
        <f t="shared" si="390"/>
        <v>2.76776850797612</v>
      </c>
      <c r="AB431" s="4">
        <f t="shared" si="391"/>
        <v>1.2580934313093</v>
      </c>
      <c r="AC431" s="67" t="str">
        <f t="shared" si="392"/>
        <v>-5,60437952821418-1,51727242446309i</v>
      </c>
      <c r="AD431" s="68">
        <f t="shared" si="393"/>
        <v>15.2777402543086</v>
      </c>
      <c r="AE431" s="31">
        <f t="shared" si="394"/>
        <v>-164.851459918514</v>
      </c>
      <c r="AF431" s="32" t="str">
        <f t="shared" si="395"/>
        <v>432,040091031901</v>
      </c>
      <c r="AG431" s="32" t="str">
        <f t="shared" si="377"/>
        <v>1+1406,3522689615i</v>
      </c>
      <c r="AH431" s="32">
        <f t="shared" si="396"/>
        <v>1406.35262449115</v>
      </c>
      <c r="AI431" s="32">
        <f t="shared" si="397"/>
        <v>1.57008526751513</v>
      </c>
      <c r="AJ431" s="32" t="str">
        <f t="shared" si="378"/>
        <v>1+13,2900289416862i</v>
      </c>
      <c r="AK431" s="32">
        <f t="shared" si="398"/>
        <v>13.3275980308102</v>
      </c>
      <c r="AL431" s="32">
        <f t="shared" si="399"/>
        <v>1.49569346956101</v>
      </c>
      <c r="AM431" s="32" t="str">
        <f t="shared" si="379"/>
        <v>1-3,92352548494005i</v>
      </c>
      <c r="AN431" s="32">
        <f t="shared" si="400"/>
        <v>4.0489569312323</v>
      </c>
      <c r="AO431" s="32">
        <f t="shared" si="401"/>
        <v>-1.32123676555171</v>
      </c>
      <c r="AP431" s="30" t="str">
        <f t="shared" si="402"/>
        <v>2,88905499323374-16,3240387855964i</v>
      </c>
      <c r="AQ431" s="32">
        <f t="shared" si="403"/>
        <v>24.3904972755248</v>
      </c>
      <c r="AR431" s="31">
        <f t="shared" si="404"/>
        <v>-79.9636264567902</v>
      </c>
      <c r="AS431" t="str">
        <f t="shared" si="380"/>
        <v>-0,000201496259351621</v>
      </c>
      <c r="AT431" t="str">
        <f t="shared" si="381"/>
        <v>0,190450861173271i</v>
      </c>
      <c r="AU431">
        <f t="shared" si="405"/>
        <v>0.190450861173271</v>
      </c>
      <c r="AV431">
        <f t="shared" si="406"/>
        <v>1.5707963267949</v>
      </c>
      <c r="AW431" t="str">
        <f t="shared" si="382"/>
        <v>1+9,7507347705838i</v>
      </c>
      <c r="AX431">
        <f t="shared" si="407"/>
        <v>9.80187882838142</v>
      </c>
      <c r="AY431">
        <f t="shared" si="408"/>
        <v>1.46859725699777</v>
      </c>
      <c r="AZ431" t="str">
        <f t="shared" si="383"/>
        <v>1+466,168107010676i</v>
      </c>
      <c r="BA431">
        <f t="shared" si="409"/>
        <v>466.16917958389</v>
      </c>
      <c r="BB431">
        <f t="shared" si="410"/>
        <v>1.56865118118953</v>
      </c>
      <c r="BC431" s="30" t="str">
        <f t="shared" si="411"/>
        <v>-0,00502605868045916+0,0500657611872318i</v>
      </c>
      <c r="BD431" s="32">
        <f t="shared" si="412"/>
        <v>-25.9656344992096</v>
      </c>
      <c r="BE431" s="31">
        <f t="shared" si="413"/>
        <v>95.7326675799099</v>
      </c>
      <c r="BF431" s="30" t="str">
        <f t="shared" si="414"/>
        <v>0,10413133923551-0,272961626822588i</v>
      </c>
      <c r="BG431" s="68">
        <f t="shared" si="415"/>
        <v>-10.687894244901</v>
      </c>
      <c r="BH431" s="31">
        <f t="shared" si="416"/>
        <v>-69.1187923386045</v>
      </c>
      <c r="BI431" s="30" t="str">
        <f t="shared" si="369"/>
        <v>0,802754867523712+0,226688314186519i</v>
      </c>
      <c r="BJ431" s="68">
        <f t="shared" si="417"/>
        <v>-1.57513722368488</v>
      </c>
      <c r="BK431" s="31">
        <f t="shared" si="370"/>
        <v>15.7690411231198</v>
      </c>
      <c r="BL431" s="32">
        <f t="shared" si="418"/>
        <v>-10.687894244901</v>
      </c>
      <c r="BM431" s="31">
        <f t="shared" si="419"/>
        <v>-69.1187923386045</v>
      </c>
      <c r="BO431">
        <f t="shared" si="420"/>
        <v>0</v>
      </c>
      <c r="BP431">
        <f t="shared" si="421"/>
        <v>0</v>
      </c>
    </row>
    <row r="432" spans="14:68">
      <c r="N432" s="7">
        <v>14</v>
      </c>
      <c r="O432" s="18">
        <f t="shared" si="422"/>
        <v>138038.426460289</v>
      </c>
      <c r="P432" s="86" t="str">
        <f t="shared" si="372"/>
        <v>54,5454545454545</v>
      </c>
      <c r="Q432" s="4" t="str">
        <f t="shared" si="373"/>
        <v>1+1766,18097184883i</v>
      </c>
      <c r="R432" s="4">
        <f t="shared" si="384"/>
        <v>1766.1812549455</v>
      </c>
      <c r="S432" s="4">
        <f t="shared" si="385"/>
        <v>1.57023013346076</v>
      </c>
      <c r="T432" s="4" t="str">
        <f t="shared" si="374"/>
        <v>1+13,599593483236i</v>
      </c>
      <c r="U432" s="4">
        <f t="shared" si="386"/>
        <v>13.6363097247487</v>
      </c>
      <c r="V432" s="4">
        <f t="shared" si="387"/>
        <v>1.49739681478417</v>
      </c>
      <c r="W432" t="str">
        <f t="shared" si="375"/>
        <v>1-39,0294455832665i</v>
      </c>
      <c r="X432" s="4">
        <f t="shared" si="388"/>
        <v>39.0422543219159</v>
      </c>
      <c r="Y432" s="4">
        <f t="shared" si="389"/>
        <v>-1.54518025032497</v>
      </c>
      <c r="Z432" t="str">
        <f t="shared" si="376"/>
        <v>0,844452186288712+2,69489029027316i</v>
      </c>
      <c r="AA432" s="4">
        <f t="shared" si="390"/>
        <v>2.82409864762836</v>
      </c>
      <c r="AB432" s="4">
        <f t="shared" si="391"/>
        <v>1.26713445949683</v>
      </c>
      <c r="AC432" s="67" t="str">
        <f t="shared" si="392"/>
        <v>-5,63164684652656-1,47671997934524i</v>
      </c>
      <c r="AD432" s="68">
        <f t="shared" si="393"/>
        <v>15.3015034854651</v>
      </c>
      <c r="AE432" s="31">
        <f t="shared" si="394"/>
        <v>-165.306805303448</v>
      </c>
      <c r="AF432" s="32" t="str">
        <f t="shared" si="395"/>
        <v>432,040091031901</v>
      </c>
      <c r="AG432" s="32" t="str">
        <f t="shared" si="377"/>
        <v>1+1439,11042150645i</v>
      </c>
      <c r="AH432" s="32">
        <f t="shared" si="396"/>
        <v>1439.11076894326</v>
      </c>
      <c r="AI432" s="32">
        <f t="shared" si="397"/>
        <v>1.57010145319513</v>
      </c>
      <c r="AJ432" s="32" t="str">
        <f t="shared" si="378"/>
        <v>1+13,599593483236i</v>
      </c>
      <c r="AK432" s="32">
        <f t="shared" si="398"/>
        <v>13.6363097247487</v>
      </c>
      <c r="AL432" s="32">
        <f t="shared" si="399"/>
        <v>1.49739681478417</v>
      </c>
      <c r="AM432" s="32" t="str">
        <f t="shared" si="379"/>
        <v>1-4,01491613377412i</v>
      </c>
      <c r="AN432" s="32">
        <f t="shared" si="400"/>
        <v>4.13757798249649</v>
      </c>
      <c r="AO432" s="32">
        <f t="shared" si="401"/>
        <v>-1.32669201438826</v>
      </c>
      <c r="AP432" s="30" t="str">
        <f t="shared" si="402"/>
        <v>2,88904522747976-16,6902204966924i</v>
      </c>
      <c r="AQ432" s="32">
        <f t="shared" si="403"/>
        <v>24.5774574988326</v>
      </c>
      <c r="AR432" s="31">
        <f t="shared" si="404"/>
        <v>-80.1795220701293</v>
      </c>
      <c r="AS432" t="str">
        <f t="shared" si="380"/>
        <v>-0,000201496259351621</v>
      </c>
      <c r="AT432" t="str">
        <f t="shared" si="381"/>
        <v>0,194887031612444i</v>
      </c>
      <c r="AU432">
        <f t="shared" si="405"/>
        <v>0.194887031612444</v>
      </c>
      <c r="AV432">
        <f t="shared" si="406"/>
        <v>1.5707963267949</v>
      </c>
      <c r="AW432" t="str">
        <f t="shared" si="382"/>
        <v>1+9,97785856032675i</v>
      </c>
      <c r="AX432">
        <f t="shared" si="407"/>
        <v>10.0278443072221</v>
      </c>
      <c r="AY432">
        <f t="shared" si="408"/>
        <v>1.47090797049281</v>
      </c>
      <c r="AZ432" t="str">
        <f t="shared" si="383"/>
        <v>1+477,026557128812i</v>
      </c>
      <c r="BA432">
        <f t="shared" si="409"/>
        <v>477.027605287333</v>
      </c>
      <c r="BB432">
        <f t="shared" si="410"/>
        <v>1.56870001052024</v>
      </c>
      <c r="BC432" s="30" t="str">
        <f t="shared" si="411"/>
        <v>-0,00480209833088803+0,048948571060689i</v>
      </c>
      <c r="BD432" s="32">
        <f t="shared" si="412"/>
        <v>-26.1636004593858</v>
      </c>
      <c r="BE432" s="31">
        <f t="shared" si="413"/>
        <v>95.6030711635464</v>
      </c>
      <c r="BF432" s="30" t="str">
        <f t="shared" si="414"/>
        <v>0,0993270547675757-0,268569711307908i</v>
      </c>
      <c r="BG432" s="68">
        <f t="shared" si="415"/>
        <v>-10.8620969739207</v>
      </c>
      <c r="BH432" s="31">
        <f t="shared" si="416"/>
        <v>-69.7037341399012</v>
      </c>
      <c r="BI432" s="30" t="str">
        <f t="shared" si="369"/>
        <v>0,803088964736175+0,221562715604157i</v>
      </c>
      <c r="BJ432" s="68">
        <f t="shared" si="417"/>
        <v>-1.5861429605532</v>
      </c>
      <c r="BK432" s="31">
        <f t="shared" si="370"/>
        <v>15.4235490934172</v>
      </c>
      <c r="BL432" s="32">
        <f t="shared" si="418"/>
        <v>-10.8620969739207</v>
      </c>
      <c r="BM432" s="31">
        <f t="shared" si="419"/>
        <v>-69.7037341399012</v>
      </c>
      <c r="BO432">
        <f t="shared" si="420"/>
        <v>0</v>
      </c>
      <c r="BP432">
        <f t="shared" si="421"/>
        <v>0</v>
      </c>
    </row>
    <row r="433" spans="14:68">
      <c r="N433" s="7">
        <v>15</v>
      </c>
      <c r="O433" s="18">
        <f t="shared" si="422"/>
        <v>141253.754462276</v>
      </c>
      <c r="P433" s="86" t="str">
        <f t="shared" si="372"/>
        <v>54,5454545454545</v>
      </c>
      <c r="Q433" s="4" t="str">
        <f t="shared" si="373"/>
        <v>1+1807,32061159252i</v>
      </c>
      <c r="R433" s="4">
        <f t="shared" si="384"/>
        <v>1807.32088824513</v>
      </c>
      <c r="S433" s="4">
        <f t="shared" si="385"/>
        <v>1.57024302159186</v>
      </c>
      <c r="T433" s="4" t="str">
        <f t="shared" si="374"/>
        <v>1+13,9163687092624i</v>
      </c>
      <c r="U433" s="4">
        <f t="shared" si="386"/>
        <v>13.9522513614161</v>
      </c>
      <c r="V433" s="4">
        <f t="shared" si="387"/>
        <v>1.49906179953929</v>
      </c>
      <c r="W433" t="str">
        <f t="shared" si="375"/>
        <v>1-39,9385581579597i</v>
      </c>
      <c r="X433" s="4">
        <f t="shared" si="388"/>
        <v>39.9510754265355</v>
      </c>
      <c r="Y433" s="4">
        <f t="shared" si="389"/>
        <v>-1.5457630970076</v>
      </c>
      <c r="Z433" t="str">
        <f t="shared" si="376"/>
        <v>0,837121443676007+2,75766234900198i</v>
      </c>
      <c r="AA433" s="4">
        <f t="shared" si="390"/>
        <v>2.88192191819371</v>
      </c>
      <c r="AB433" s="4">
        <f t="shared" si="391"/>
        <v>1.27607487263394</v>
      </c>
      <c r="AC433" s="67" t="str">
        <f t="shared" si="392"/>
        <v>-5,65791085462314-1,43610748715765i</v>
      </c>
      <c r="AD433" s="68">
        <f t="shared" si="393"/>
        <v>15.324277068762</v>
      </c>
      <c r="AE433" s="31">
        <f t="shared" si="394"/>
        <v>-165.757789734421</v>
      </c>
      <c r="AF433" s="32" t="str">
        <f t="shared" si="395"/>
        <v>432,040091031901</v>
      </c>
      <c r="AG433" s="32" t="str">
        <f t="shared" si="377"/>
        <v>1+1472,63160944575i</v>
      </c>
      <c r="AH433" s="32">
        <f t="shared" si="396"/>
        <v>1472.63194897394</v>
      </c>
      <c r="AI433" s="32">
        <f t="shared" si="397"/>
        <v>1.57011727044443</v>
      </c>
      <c r="AJ433" s="32" t="str">
        <f t="shared" si="378"/>
        <v>1+13,9163687092624i</v>
      </c>
      <c r="AK433" s="32">
        <f t="shared" si="398"/>
        <v>13.9522513614161</v>
      </c>
      <c r="AL433" s="32">
        <f t="shared" si="399"/>
        <v>1.49906179953929</v>
      </c>
      <c r="AM433" s="32" t="str">
        <f t="shared" si="379"/>
        <v>1-4,108435544286i</v>
      </c>
      <c r="AN433" s="32">
        <f t="shared" si="400"/>
        <v>4.22838534449648</v>
      </c>
      <c r="AO433" s="32">
        <f t="shared" si="401"/>
        <v>-1.33203744969432</v>
      </c>
      <c r="AP433" s="30" t="str">
        <f t="shared" si="402"/>
        <v>2,8890359012567-17,0652515830058i</v>
      </c>
      <c r="AQ433" s="32">
        <f t="shared" si="403"/>
        <v>24.7649736264176</v>
      </c>
      <c r="AR433" s="31">
        <f t="shared" si="404"/>
        <v>-80.3913026150334</v>
      </c>
      <c r="AS433" t="str">
        <f t="shared" si="380"/>
        <v>-0,000201496259351621</v>
      </c>
      <c r="AT433" t="str">
        <f t="shared" si="381"/>
        <v>0,199426533735412i</v>
      </c>
      <c r="AU433">
        <f t="shared" si="405"/>
        <v>0.199426533735412</v>
      </c>
      <c r="AV433">
        <f t="shared" si="406"/>
        <v>1.5707963267949</v>
      </c>
      <c r="AW433" t="str">
        <f t="shared" si="382"/>
        <v>1+10,2102727427509i</v>
      </c>
      <c r="AX433">
        <f t="shared" si="407"/>
        <v>10.2591261558362</v>
      </c>
      <c r="AY433">
        <f t="shared" si="408"/>
        <v>1.47316712036365</v>
      </c>
      <c r="AZ433" t="str">
        <f t="shared" si="383"/>
        <v>1+488,137933041729i</v>
      </c>
      <c r="BA433">
        <f t="shared" si="409"/>
        <v>488.1389573413</v>
      </c>
      <c r="BB433">
        <f t="shared" si="410"/>
        <v>1.56874772836935</v>
      </c>
      <c r="BC433" s="30" t="str">
        <f t="shared" si="411"/>
        <v>-0,00458802180174077+0,0478553323318138i</v>
      </c>
      <c r="BD433" s="32">
        <f t="shared" si="412"/>
        <v>-26.3616570759402</v>
      </c>
      <c r="BE433" s="31">
        <f t="shared" si="413"/>
        <v>95.4763654420205</v>
      </c>
      <c r="BF433" s="30" t="str">
        <f t="shared" si="414"/>
        <v>0,0946840194154521-0,264172311791045i</v>
      </c>
      <c r="BG433" s="68">
        <f t="shared" si="415"/>
        <v>-11.0373800071782</v>
      </c>
      <c r="BH433" s="31">
        <f t="shared" si="416"/>
        <v>-70.2814242924008</v>
      </c>
      <c r="BI433" s="30" t="str">
        <f t="shared" si="369"/>
        <v>0,803408326129777+0,216551519488202i</v>
      </c>
      <c r="BJ433" s="68">
        <f t="shared" si="417"/>
        <v>-1.5966834495226</v>
      </c>
      <c r="BK433" s="31">
        <f t="shared" si="370"/>
        <v>15.0850628269871</v>
      </c>
      <c r="BL433" s="32">
        <f t="shared" si="418"/>
        <v>-11.0373800071782</v>
      </c>
      <c r="BM433" s="31">
        <f t="shared" si="419"/>
        <v>-70.2814242924008</v>
      </c>
      <c r="BO433">
        <f t="shared" si="420"/>
        <v>0</v>
      </c>
      <c r="BP433">
        <f t="shared" si="421"/>
        <v>0</v>
      </c>
    </row>
    <row r="434" spans="14:68">
      <c r="N434" s="7">
        <v>16</v>
      </c>
      <c r="O434" s="18">
        <f t="shared" si="422"/>
        <v>144543.977074593</v>
      </c>
      <c r="P434" s="86" t="str">
        <f t="shared" si="372"/>
        <v>54,5454545454545</v>
      </c>
      <c r="Q434" s="4" t="str">
        <f t="shared" si="373"/>
        <v>1+1849,41851664718i</v>
      </c>
      <c r="R434" s="4">
        <f t="shared" si="384"/>
        <v>1849.41878700241</v>
      </c>
      <c r="S434" s="4">
        <f t="shared" si="385"/>
        <v>1.57025561635346</v>
      </c>
      <c r="T434" s="4" t="str">
        <f t="shared" si="374"/>
        <v>1+14,2405225781833i</v>
      </c>
      <c r="U434" s="4">
        <f t="shared" si="386"/>
        <v>14.2755904711416</v>
      </c>
      <c r="V434" s="4">
        <f t="shared" si="387"/>
        <v>1.50068926967759</v>
      </c>
      <c r="W434" t="str">
        <f t="shared" si="375"/>
        <v>1-40,8688466848374i</v>
      </c>
      <c r="X434" s="4">
        <f t="shared" si="388"/>
        <v>40.8810791118427</v>
      </c>
      <c r="Y434" s="4">
        <f t="shared" si="389"/>
        <v>-1.54633269291856</v>
      </c>
      <c r="Z434" t="str">
        <f t="shared" si="376"/>
        <v>0,829445213807832+2,8218965568102i</v>
      </c>
      <c r="AA434" s="4">
        <f t="shared" si="390"/>
        <v>2.94127175555847</v>
      </c>
      <c r="AB434" s="4">
        <f t="shared" si="391"/>
        <v>1.2849159180841</v>
      </c>
      <c r="AC434" s="67" t="str">
        <f t="shared" si="392"/>
        <v>-5,68318973580948-1,39545682402851i</v>
      </c>
      <c r="AD434" s="68">
        <f t="shared" si="393"/>
        <v>15.346091589238</v>
      </c>
      <c r="AE434" s="31">
        <f t="shared" si="394"/>
        <v>-166.2044542234</v>
      </c>
      <c r="AF434" s="32" t="str">
        <f t="shared" si="395"/>
        <v>432,040091031901</v>
      </c>
      <c r="AG434" s="32" t="str">
        <f t="shared" si="377"/>
        <v>1+1506,93360615696i</v>
      </c>
      <c r="AH434" s="32">
        <f t="shared" si="396"/>
        <v>1506.93393795654</v>
      </c>
      <c r="AI434" s="32">
        <f t="shared" si="397"/>
        <v>1.5701327276495</v>
      </c>
      <c r="AJ434" s="32" t="str">
        <f t="shared" si="378"/>
        <v>1+14,2405225781833i</v>
      </c>
      <c r="AK434" s="32">
        <f t="shared" si="398"/>
        <v>14.2755904711416</v>
      </c>
      <c r="AL434" s="32">
        <f t="shared" si="399"/>
        <v>1.50068926967759</v>
      </c>
      <c r="AM434" s="32" t="str">
        <f t="shared" si="379"/>
        <v>1-4,20413330170502i</v>
      </c>
      <c r="AN434" s="32">
        <f t="shared" si="400"/>
        <v>4.32142763661561</v>
      </c>
      <c r="AO434" s="32">
        <f t="shared" si="401"/>
        <v>-1.33727468325319</v>
      </c>
      <c r="AP434" s="30" t="str">
        <f t="shared" si="402"/>
        <v>2,88902699478243-17,4493308910236i</v>
      </c>
      <c r="AQ434" s="32">
        <f t="shared" si="403"/>
        <v>24.9530232164655</v>
      </c>
      <c r="AR434" s="31">
        <f t="shared" si="404"/>
        <v>-80.599012456686</v>
      </c>
      <c r="AS434" t="str">
        <f t="shared" si="380"/>
        <v>-0,000201496259351621</v>
      </c>
      <c r="AT434" t="str">
        <f t="shared" si="381"/>
        <v>0,204071774446288i</v>
      </c>
      <c r="AU434">
        <f t="shared" si="405"/>
        <v>0.204071774446288</v>
      </c>
      <c r="AV434">
        <f t="shared" si="406"/>
        <v>1.5707963267949</v>
      </c>
      <c r="AW434" t="str">
        <f t="shared" si="382"/>
        <v>1+10,4481005469322i</v>
      </c>
      <c r="AX434">
        <f t="shared" si="407"/>
        <v>10.4958470377004</v>
      </c>
      <c r="AY434">
        <f t="shared" si="408"/>
        <v>1.4753758121496</v>
      </c>
      <c r="AZ434" t="str">
        <f t="shared" si="383"/>
        <v>1+499,508126148012i</v>
      </c>
      <c r="BA434">
        <f t="shared" si="409"/>
        <v>499.509127131726</v>
      </c>
      <c r="BB434">
        <f t="shared" si="410"/>
        <v>1.56879436003661</v>
      </c>
      <c r="BC434" s="30" t="str">
        <f t="shared" si="411"/>
        <v>-0,00438340125813243+0,0467855964489107i</v>
      </c>
      <c r="BD434" s="32">
        <f t="shared" si="412"/>
        <v>-26.5598003462895</v>
      </c>
      <c r="BE434" s="31">
        <f t="shared" si="413"/>
        <v>95.3524885221665</v>
      </c>
      <c r="BF434" s="30" t="str">
        <f t="shared" si="414"/>
        <v>0,090198980869029-0,259774574324058i</v>
      </c>
      <c r="BG434" s="68">
        <f t="shared" si="415"/>
        <v>-11.2137087570515</v>
      </c>
      <c r="BH434" s="31">
        <f t="shared" si="416"/>
        <v>-70.8519657012334</v>
      </c>
      <c r="BI434" s="30" t="str">
        <f t="shared" ref="BI434:BI497" si="423">IMPRODUCT(AP434,BC434)</f>
        <v>0,803713588807234+0,211652270089182i</v>
      </c>
      <c r="BJ434" s="68">
        <f t="shared" si="417"/>
        <v>-1.60677712982398</v>
      </c>
      <c r="BK434" s="31">
        <f t="shared" ref="BK434:BK497" si="424">(180/PI())*IMARGUMENT(BI434)</f>
        <v>14.7534760654805</v>
      </c>
      <c r="BL434" s="32">
        <f t="shared" si="418"/>
        <v>-11.2137087570515</v>
      </c>
      <c r="BM434" s="31">
        <f t="shared" si="419"/>
        <v>-70.8519657012334</v>
      </c>
      <c r="BO434">
        <f t="shared" si="420"/>
        <v>0</v>
      </c>
      <c r="BP434">
        <f t="shared" si="421"/>
        <v>0</v>
      </c>
    </row>
    <row r="435" spans="14:68">
      <c r="N435" s="7">
        <v>17</v>
      </c>
      <c r="O435" s="18">
        <f t="shared" si="422"/>
        <v>147910.838816821</v>
      </c>
      <c r="P435" s="86" t="str">
        <f t="shared" si="372"/>
        <v>54,5454545454545</v>
      </c>
      <c r="Q435" s="4" t="str">
        <f t="shared" si="373"/>
        <v>1+1892,49700787933i</v>
      </c>
      <c r="R435" s="4">
        <f t="shared" si="384"/>
        <v>1892.49727208052</v>
      </c>
      <c r="S435" s="4">
        <f t="shared" si="385"/>
        <v>1.57026792442344</v>
      </c>
      <c r="T435" s="4" t="str">
        <f t="shared" si="374"/>
        <v>1+14,5722269606709i</v>
      </c>
      <c r="U435" s="4">
        <f t="shared" si="386"/>
        <v>14.6064985055729</v>
      </c>
      <c r="V435" s="4">
        <f t="shared" si="387"/>
        <v>1.50228005360103</v>
      </c>
      <c r="W435" t="str">
        <f t="shared" si="375"/>
        <v>1-41,8208044151907i</v>
      </c>
      <c r="X435" s="4">
        <f t="shared" si="388"/>
        <v>41.8327584786568</v>
      </c>
      <c r="Y435" s="4">
        <f t="shared" si="389"/>
        <v>-1.54688933858588</v>
      </c>
      <c r="Z435" t="str">
        <f t="shared" si="376"/>
        <v>0,821407214371463+2,88762697152507i</v>
      </c>
      <c r="AA435" s="4">
        <f t="shared" si="390"/>
        <v>3.00218242925052</v>
      </c>
      <c r="AB435" s="4">
        <f t="shared" si="391"/>
        <v>1.29365896623402</v>
      </c>
      <c r="AC435" s="67" t="str">
        <f t="shared" si="392"/>
        <v>-5,70750212220144-1,35478820886785i</v>
      </c>
      <c r="AD435" s="68">
        <f t="shared" si="393"/>
        <v>15.3669769199404</v>
      </c>
      <c r="AE435" s="31">
        <f t="shared" si="394"/>
        <v>-166.646847425426</v>
      </c>
      <c r="AF435" s="32" t="str">
        <f t="shared" si="395"/>
        <v>432,040091031901</v>
      </c>
      <c r="AG435" s="32" t="str">
        <f t="shared" si="377"/>
        <v>1+1542,03459901279i</v>
      </c>
      <c r="AH435" s="32">
        <f t="shared" si="396"/>
        <v>1542.0349232597</v>
      </c>
      <c r="AI435" s="32">
        <f t="shared" si="397"/>
        <v>1.57014783300594</v>
      </c>
      <c r="AJ435" s="32" t="str">
        <f t="shared" si="378"/>
        <v>1+14,5722269606709i</v>
      </c>
      <c r="AK435" s="32">
        <f t="shared" si="398"/>
        <v>14.6064985055729</v>
      </c>
      <c r="AL435" s="32">
        <f t="shared" si="399"/>
        <v>1.50228005360103</v>
      </c>
      <c r="AM435" s="32" t="str">
        <f t="shared" si="379"/>
        <v>1-4,3020601462489i</v>
      </c>
      <c r="AN435" s="32">
        <f t="shared" si="400"/>
        <v>4.41675463456406</v>
      </c>
      <c r="AO435" s="32">
        <f t="shared" si="401"/>
        <v>-1.34240534221239</v>
      </c>
      <c r="AP435" s="30" t="str">
        <f t="shared" si="402"/>
        <v>2,88901848916521-17,8426620647169i</v>
      </c>
      <c r="AQ435" s="32">
        <f t="shared" si="403"/>
        <v>25.1415846284848</v>
      </c>
      <c r="AR435" s="31">
        <f t="shared" si="404"/>
        <v>-80.8026978294112</v>
      </c>
      <c r="AS435" t="str">
        <f t="shared" si="380"/>
        <v>-0,000201496259351621</v>
      </c>
      <c r="AT435" t="str">
        <f t="shared" si="381"/>
        <v>0,208825216713185i</v>
      </c>
      <c r="AU435">
        <f t="shared" si="405"/>
        <v>0.208825216713185</v>
      </c>
      <c r="AV435">
        <f t="shared" si="406"/>
        <v>1.5707963267949</v>
      </c>
      <c r="AW435" t="str">
        <f t="shared" si="382"/>
        <v>1+10,6914680723204i</v>
      </c>
      <c r="AX435">
        <f t="shared" si="407"/>
        <v>10.738132497853</v>
      </c>
      <c r="AY435">
        <f t="shared" si="408"/>
        <v>1.47753513068321</v>
      </c>
      <c r="AZ435" t="str">
        <f t="shared" si="383"/>
        <v>1+511,143165074551i</v>
      </c>
      <c r="BA435">
        <f t="shared" si="409"/>
        <v>511.144143273138</v>
      </c>
      <c r="BB435">
        <f t="shared" si="410"/>
        <v>1.56883993024595</v>
      </c>
      <c r="BC435" s="30" t="str">
        <f t="shared" si="411"/>
        <v>-0,00418782665485857+0,0457389188408766i</v>
      </c>
      <c r="BD435" s="32">
        <f t="shared" si="412"/>
        <v>-26.7580264412593</v>
      </c>
      <c r="BE435" s="31">
        <f t="shared" si="413"/>
        <v>95.2313796642326</v>
      </c>
      <c r="BF435" s="30" t="str">
        <f t="shared" si="414"/>
        <v>0,0858685774520002-0,255381358178718i</v>
      </c>
      <c r="BG435" s="68">
        <f t="shared" si="415"/>
        <v>-11.3910495213188</v>
      </c>
      <c r="BH435" s="31">
        <f t="shared" si="416"/>
        <v>-71.4154677611935</v>
      </c>
      <c r="BI435" s="30" t="str">
        <f t="shared" si="423"/>
        <v>0,804005363447969+0,206862557993975i</v>
      </c>
      <c r="BJ435" s="68">
        <f t="shared" si="417"/>
        <v>-1.6164418127745</v>
      </c>
      <c r="BK435" s="31">
        <f t="shared" si="424"/>
        <v>14.4286818348214</v>
      </c>
      <c r="BL435" s="32">
        <f t="shared" si="418"/>
        <v>-11.3910495213188</v>
      </c>
      <c r="BM435" s="31">
        <f t="shared" si="419"/>
        <v>-71.4154677611935</v>
      </c>
      <c r="BO435">
        <f t="shared" si="420"/>
        <v>0</v>
      </c>
      <c r="BP435">
        <f t="shared" si="421"/>
        <v>0</v>
      </c>
    </row>
    <row r="436" spans="14:68">
      <c r="N436" s="7">
        <v>18</v>
      </c>
      <c r="O436" s="18">
        <f t="shared" si="422"/>
        <v>151356.124843621</v>
      </c>
      <c r="P436" s="86" t="str">
        <f t="shared" si="372"/>
        <v>54,5454545454545</v>
      </c>
      <c r="Q436" s="4" t="str">
        <f t="shared" si="373"/>
        <v>1+1936,57892607521i</v>
      </c>
      <c r="R436" s="4">
        <f t="shared" si="384"/>
        <v>1936.57918426245</v>
      </c>
      <c r="S436" s="4">
        <f t="shared" si="385"/>
        <v>1.57027995232771</v>
      </c>
      <c r="T436" s="4" t="str">
        <f t="shared" si="374"/>
        <v>1+14,9116577307792i</v>
      </c>
      <c r="U436" s="4">
        <f t="shared" si="386"/>
        <v>14.9451509286426</v>
      </c>
      <c r="V436" s="4">
        <f t="shared" si="387"/>
        <v>1.50383496254117</v>
      </c>
      <c r="W436" t="str">
        <f t="shared" si="375"/>
        <v>1-42,7949360896086i</v>
      </c>
      <c r="X436" s="4">
        <f t="shared" si="388"/>
        <v>42.8066181204926</v>
      </c>
      <c r="Y436" s="4">
        <f t="shared" si="389"/>
        <v>-1.54743332776986</v>
      </c>
      <c r="Z436" t="str">
        <f t="shared" si="376"/>
        <v>0,812990395692425+2,9548884442825i</v>
      </c>
      <c r="AA436" s="4">
        <f t="shared" si="390"/>
        <v>3.06468907095685</v>
      </c>
      <c r="AB436" s="4">
        <f t="shared" si="391"/>
        <v>1.30230550415481</v>
      </c>
      <c r="AC436" s="67" t="str">
        <f t="shared" si="392"/>
        <v>-5,73086699272169-1,31412023009013i</v>
      </c>
      <c r="AD436" s="68">
        <f t="shared" si="393"/>
        <v>15.3869621958817</v>
      </c>
      <c r="AE436" s="31">
        <f t="shared" si="394"/>
        <v>-167.085025268383</v>
      </c>
      <c r="AF436" s="32" t="str">
        <f t="shared" si="395"/>
        <v>432,040091031901</v>
      </c>
      <c r="AG436" s="32" t="str">
        <f t="shared" si="377"/>
        <v>1+1577,95319902425i</v>
      </c>
      <c r="AH436" s="32">
        <f t="shared" si="396"/>
        <v>1577.9535158904</v>
      </c>
      <c r="AI436" s="32">
        <f t="shared" si="397"/>
        <v>1.57016259452277</v>
      </c>
      <c r="AJ436" s="32" t="str">
        <f t="shared" si="378"/>
        <v>1+14,9116577307792i</v>
      </c>
      <c r="AK436" s="32">
        <f t="shared" si="398"/>
        <v>14.9451509286426</v>
      </c>
      <c r="AL436" s="32">
        <f t="shared" si="399"/>
        <v>1.50383496254117</v>
      </c>
      <c r="AM436" s="32" t="str">
        <f t="shared" si="379"/>
        <v>1-4,40226800002681i</v>
      </c>
      <c r="AN436" s="32">
        <f t="shared" si="400"/>
        <v>4.51441729839633</v>
      </c>
      <c r="AO436" s="32">
        <f t="shared" si="401"/>
        <v>-1.347431065975</v>
      </c>
      <c r="AP436" s="30" t="str">
        <f t="shared" si="402"/>
        <v>2,8890103663635-18,2454536535158i</v>
      </c>
      <c r="AQ436" s="32">
        <f t="shared" si="403"/>
        <v>25.3306370034293</v>
      </c>
      <c r="AR436" s="31">
        <f t="shared" si="404"/>
        <v>-81.0024066428232</v>
      </c>
      <c r="AS436" t="str">
        <f t="shared" si="380"/>
        <v>-0,000201496259351621</v>
      </c>
      <c r="AT436" t="str">
        <f t="shared" si="381"/>
        <v>0,213689380874112i</v>
      </c>
      <c r="AU436">
        <f t="shared" si="405"/>
        <v>0.213689380874112</v>
      </c>
      <c r="AV436">
        <f t="shared" si="406"/>
        <v>1.5707963267949</v>
      </c>
      <c r="AW436" t="str">
        <f t="shared" si="382"/>
        <v>1+10,9405043555989i</v>
      </c>
      <c r="AX436">
        <f t="shared" si="407"/>
        <v>10.9861110296082</v>
      </c>
      <c r="AY436">
        <f t="shared" si="408"/>
        <v>1.47964614027409</v>
      </c>
      <c r="AZ436" t="str">
        <f t="shared" si="383"/>
        <v>1+523,049218872993i</v>
      </c>
      <c r="BA436">
        <f t="shared" si="409"/>
        <v>523.050174805103</v>
      </c>
      <c r="BB436">
        <f t="shared" si="410"/>
        <v>1.56888446315853</v>
      </c>
      <c r="BC436" s="30" t="str">
        <f t="shared" si="411"/>
        <v>-0,00400090506082963+0,0447148592188407i</v>
      </c>
      <c r="BD436" s="32">
        <f t="shared" si="412"/>
        <v>-26.95633169786</v>
      </c>
      <c r="BE436" s="31">
        <f t="shared" si="413"/>
        <v>95.1129792721043</v>
      </c>
      <c r="BF436" s="30" t="str">
        <f t="shared" si="414"/>
        <v>0,0816893558392324-0,250997240502345i</v>
      </c>
      <c r="BG436" s="68">
        <f t="shared" si="415"/>
        <v>-11.5693695019783</v>
      </c>
      <c r="BH436" s="31">
        <f t="shared" si="416"/>
        <v>-71.9720459962791</v>
      </c>
      <c r="BI436" s="30" t="str">
        <f t="shared" si="423"/>
        <v>0,804284235305269+0,202180019673199i</v>
      </c>
      <c r="BJ436" s="68">
        <f t="shared" si="417"/>
        <v>-1.62569469443061</v>
      </c>
      <c r="BK436" s="31">
        <f t="shared" si="424"/>
        <v>14.1105726292811</v>
      </c>
      <c r="BL436" s="32">
        <f t="shared" si="418"/>
        <v>-11.5693695019783</v>
      </c>
      <c r="BM436" s="31">
        <f t="shared" si="419"/>
        <v>-71.9720459962791</v>
      </c>
      <c r="BO436">
        <f t="shared" si="420"/>
        <v>0</v>
      </c>
      <c r="BP436">
        <f t="shared" si="421"/>
        <v>0</v>
      </c>
    </row>
    <row r="437" spans="14:68">
      <c r="N437" s="7">
        <v>19</v>
      </c>
      <c r="O437" s="18">
        <f t="shared" si="422"/>
        <v>154881.661891248</v>
      </c>
      <c r="P437" s="86" t="str">
        <f t="shared" si="372"/>
        <v>54,5454545454545</v>
      </c>
      <c r="Q437" s="4" t="str">
        <f t="shared" si="373"/>
        <v>1+1981,68764405135i</v>
      </c>
      <c r="R437" s="4">
        <f t="shared" si="384"/>
        <v>1981.68789636153</v>
      </c>
      <c r="S437" s="4">
        <f t="shared" si="385"/>
        <v>1.57029170644359</v>
      </c>
      <c r="T437" s="4" t="str">
        <f t="shared" si="374"/>
        <v>1+15,2589948591954i</v>
      </c>
      <c r="U437" s="4">
        <f t="shared" si="386"/>
        <v>15.2917273096584</v>
      </c>
      <c r="V437" s="4">
        <f t="shared" si="387"/>
        <v>1.50535479083947</v>
      </c>
      <c r="W437" t="str">
        <f t="shared" si="375"/>
        <v>1-43,7917582055991i</v>
      </c>
      <c r="X437" s="4">
        <f t="shared" si="388"/>
        <v>43.8031743911061</v>
      </c>
      <c r="Y437" s="4">
        <f t="shared" si="389"/>
        <v>-1.54796494761219</v>
      </c>
      <c r="Z437" t="str">
        <f t="shared" si="376"/>
        <v>0,804176904569837+3,02371663800565i</v>
      </c>
      <c r="AA437" s="4">
        <f t="shared" si="390"/>
        <v>3.12882770391655</v>
      </c>
      <c r="AB437" s="4">
        <f t="shared" si="391"/>
        <v>1.3108571293889</v>
      </c>
      <c r="AC437" s="67" t="str">
        <f t="shared" si="392"/>
        <v>-5,75330357653532-1,27346987715047i</v>
      </c>
      <c r="AD437" s="68">
        <f t="shared" si="393"/>
        <v>15.4060757915137</v>
      </c>
      <c r="AE437" s="31">
        <f t="shared" si="394"/>
        <v>-167.519050589699</v>
      </c>
      <c r="AF437" s="32" t="str">
        <f t="shared" si="395"/>
        <v>432,040091031901</v>
      </c>
      <c r="AG437" s="32" t="str">
        <f t="shared" si="377"/>
        <v>1+1614,70845070851i</v>
      </c>
      <c r="AH437" s="32">
        <f t="shared" si="396"/>
        <v>1614.7087603619</v>
      </c>
      <c r="AI437" s="32">
        <f t="shared" si="397"/>
        <v>1.57017702002672</v>
      </c>
      <c r="AJ437" s="32" t="str">
        <f t="shared" si="378"/>
        <v>1+15,2589948591954i</v>
      </c>
      <c r="AK437" s="32">
        <f t="shared" si="398"/>
        <v>15.2917273096584</v>
      </c>
      <c r="AL437" s="32">
        <f t="shared" si="399"/>
        <v>1.50535479083947</v>
      </c>
      <c r="AM437" s="32" t="str">
        <f t="shared" si="379"/>
        <v>1-4,50480999456924i</v>
      </c>
      <c r="AN437" s="32">
        <f t="shared" si="400"/>
        <v>4.61446780107641</v>
      </c>
      <c r="AO437" s="32">
        <f t="shared" si="401"/>
        <v>-1.3523535032774</v>
      </c>
      <c r="AP437" s="30" t="str">
        <f t="shared" si="402"/>
        <v>2,88900260914779-18,6579192228853i</v>
      </c>
      <c r="AQ437" s="32">
        <f t="shared" si="403"/>
        <v>25.5201602435481</v>
      </c>
      <c r="AR437" s="31">
        <f t="shared" si="404"/>
        <v>-81.1981882985854</v>
      </c>
      <c r="AS437" t="str">
        <f t="shared" si="380"/>
        <v>-0,000201496259351621</v>
      </c>
      <c r="AT437" t="str">
        <f t="shared" si="381"/>
        <v>0,218666845973291i</v>
      </c>
      <c r="AU437">
        <f t="shared" si="405"/>
        <v>0.218666845973291</v>
      </c>
      <c r="AV437">
        <f t="shared" si="406"/>
        <v>1.5707963267949</v>
      </c>
      <c r="AW437" t="str">
        <f t="shared" si="382"/>
        <v>1+11,1953414391014i</v>
      </c>
      <c r="AX437">
        <f t="shared" si="407"/>
        <v>11.2399141428243</v>
      </c>
      <c r="AY437">
        <f t="shared" si="408"/>
        <v>1.48170988490652</v>
      </c>
      <c r="AZ437" t="str">
        <f t="shared" si="383"/>
        <v>1+535,232600290655i</v>
      </c>
      <c r="BA437">
        <f t="shared" si="409"/>
        <v>535.233534463131</v>
      </c>
      <c r="BB437">
        <f t="shared" si="410"/>
        <v>1.56892798238559</v>
      </c>
      <c r="BC437" s="30" t="str">
        <f t="shared" si="411"/>
        <v>-0,00382226000339608+0,043712981847245i</v>
      </c>
      <c r="BD437" s="32">
        <f t="shared" si="412"/>
        <v>-27.154712612339</v>
      </c>
      <c r="BE437" s="31">
        <f t="shared" si="413"/>
        <v>94.9972288827116</v>
      </c>
      <c r="BF437" s="30" t="str">
        <f t="shared" si="414"/>
        <v>0,0776577877708784-0,246626521825816i</v>
      </c>
      <c r="BG437" s="68">
        <f t="shared" si="415"/>
        <v>-11.7486368208253</v>
      </c>
      <c r="BH437" s="31">
        <f t="shared" si="416"/>
        <v>-72.5218217069878</v>
      </c>
      <c r="BI437" s="30" t="str">
        <f t="shared" si="423"/>
        <v>0,804550765174696+0,19760233700255i</v>
      </c>
      <c r="BJ437" s="68">
        <f t="shared" si="417"/>
        <v>-1.63455236879095</v>
      </c>
      <c r="BK437" s="31">
        <f t="shared" si="424"/>
        <v>13.7990405841263</v>
      </c>
      <c r="BL437" s="32">
        <f t="shared" si="418"/>
        <v>-11.7486368208253</v>
      </c>
      <c r="BM437" s="31">
        <f t="shared" si="419"/>
        <v>-72.5218217069878</v>
      </c>
      <c r="BO437">
        <f t="shared" si="420"/>
        <v>0</v>
      </c>
      <c r="BP437">
        <f t="shared" si="421"/>
        <v>0</v>
      </c>
    </row>
    <row r="438" spans="14:68">
      <c r="N438" s="7">
        <v>20</v>
      </c>
      <c r="O438" s="18">
        <f t="shared" si="422"/>
        <v>158489.319246112</v>
      </c>
      <c r="P438" s="86" t="str">
        <f t="shared" si="372"/>
        <v>54,5454545454545</v>
      </c>
      <c r="Q438" s="4" t="str">
        <f t="shared" si="373"/>
        <v>1+2027,84707904711i</v>
      </c>
      <c r="R438" s="4">
        <f t="shared" si="384"/>
        <v>2027.84732561401</v>
      </c>
      <c r="S438" s="4">
        <f t="shared" si="385"/>
        <v>1.57030319300326</v>
      </c>
      <c r="T438" s="4" t="str">
        <f t="shared" si="374"/>
        <v>1+15,6144225086628i</v>
      </c>
      <c r="U438" s="4">
        <f t="shared" si="386"/>
        <v>15.6464114185661</v>
      </c>
      <c r="V438" s="4">
        <f t="shared" si="387"/>
        <v>1.50684031622825</v>
      </c>
      <c r="W438" t="str">
        <f t="shared" si="375"/>
        <v>1-44,811799291443i</v>
      </c>
      <c r="X438" s="4">
        <f t="shared" si="388"/>
        <v>44.8229556782746</v>
      </c>
      <c r="Y438" s="4">
        <f t="shared" si="389"/>
        <v>-1.54848447878207</v>
      </c>
      <c r="Z438" t="str">
        <f t="shared" si="376"/>
        <v>0,794948046407378+3,09414804631392i</v>
      </c>
      <c r="AA438" s="4">
        <f t="shared" si="390"/>
        <v>3.19463527323467</v>
      </c>
      <c r="AB438" s="4">
        <f t="shared" si="391"/>
        <v>1.31931554388067</v>
      </c>
      <c r="AC438" s="67" t="str">
        <f t="shared" si="392"/>
        <v>-5,77483126197021-1,23285257628936i</v>
      </c>
      <c r="AD438" s="68">
        <f t="shared" si="393"/>
        <v>15.4243453015022</v>
      </c>
      <c r="AE438" s="31">
        <f t="shared" si="394"/>
        <v>-167.948992781064</v>
      </c>
      <c r="AF438" s="32" t="str">
        <f t="shared" si="395"/>
        <v>432,040091031901</v>
      </c>
      <c r="AG438" s="32" t="str">
        <f t="shared" si="377"/>
        <v>1+1652,31984218654i</v>
      </c>
      <c r="AH438" s="32">
        <f t="shared" si="396"/>
        <v>1652.32014479136</v>
      </c>
      <c r="AI438" s="32">
        <f t="shared" si="397"/>
        <v>1.57019111716636</v>
      </c>
      <c r="AJ438" s="32" t="str">
        <f t="shared" si="378"/>
        <v>1+15,6144225086628i</v>
      </c>
      <c r="AK438" s="32">
        <f t="shared" si="398"/>
        <v>15.6464114185661</v>
      </c>
      <c r="AL438" s="32">
        <f t="shared" si="399"/>
        <v>1.50684031622825</v>
      </c>
      <c r="AM438" s="32" t="str">
        <f t="shared" si="379"/>
        <v>1-4,60974049899902i</v>
      </c>
      <c r="AN438" s="32">
        <f t="shared" si="400"/>
        <v>4.71695955760824</v>
      </c>
      <c r="AO438" s="32">
        <f t="shared" si="401"/>
        <v>-1.35717430944796</v>
      </c>
      <c r="AP438" s="30" t="str">
        <f t="shared" si="402"/>
        <v>2,88899520106405-19,0802774675612i</v>
      </c>
      <c r="AQ438" s="32">
        <f t="shared" si="403"/>
        <v>25.7101349920456</v>
      </c>
      <c r="AR438" s="31">
        <f t="shared" si="404"/>
        <v>-81.3900935174776</v>
      </c>
      <c r="AS438" t="str">
        <f t="shared" si="380"/>
        <v>-0,000201496259351621</v>
      </c>
      <c r="AT438" t="str">
        <f t="shared" si="381"/>
        <v>0,223760251128605i</v>
      </c>
      <c r="AU438">
        <f t="shared" si="405"/>
        <v>0.223760251128605</v>
      </c>
      <c r="AV438">
        <f t="shared" si="406"/>
        <v>1.5707963267949</v>
      </c>
      <c r="AW438" t="str">
        <f t="shared" si="382"/>
        <v>1+11,4561144408228i</v>
      </c>
      <c r="AX438">
        <f t="shared" si="407"/>
        <v>11.4996764337623</v>
      </c>
      <c r="AY438">
        <f t="shared" si="408"/>
        <v>1.48372738844973</v>
      </c>
      <c r="AZ438" t="str">
        <f t="shared" si="383"/>
        <v>1+547,699769117636i</v>
      </c>
      <c r="BA438">
        <f t="shared" si="409"/>
        <v>547.700682025787</v>
      </c>
      <c r="BB438">
        <f t="shared" si="410"/>
        <v>1.56897051100094</v>
      </c>
      <c r="BC438" s="30" t="str">
        <f t="shared" si="411"/>
        <v>-0,00365153083253191+0,042732855786386i</v>
      </c>
      <c r="BD438" s="32">
        <f t="shared" si="412"/>
        <v>-27.3531658334995</v>
      </c>
      <c r="BE438" s="31">
        <f t="shared" si="413"/>
        <v>94.8840711547012</v>
      </c>
      <c r="BF438" s="30" t="str">
        <f t="shared" si="414"/>
        <v>0,073770285754201-0,242273232314199i</v>
      </c>
      <c r="BG438" s="68">
        <f t="shared" si="415"/>
        <v>-11.9288205319973</v>
      </c>
      <c r="BH438" s="31">
        <f t="shared" si="416"/>
        <v>-73.0649216263627</v>
      </c>
      <c r="BI438" s="30" t="str">
        <f t="shared" si="423"/>
        <v>0,804805490333801+0,193127236760695i</v>
      </c>
      <c r="BJ438" s="68">
        <f t="shared" si="417"/>
        <v>-1.64303084145382</v>
      </c>
      <c r="BK438" s="31">
        <f t="shared" si="424"/>
        <v>13.4939776372237</v>
      </c>
      <c r="BL438" s="32">
        <f t="shared" si="418"/>
        <v>-11.9288205319973</v>
      </c>
      <c r="BM438" s="31">
        <f t="shared" si="419"/>
        <v>-73.0649216263627</v>
      </c>
      <c r="BO438">
        <f t="shared" si="420"/>
        <v>0</v>
      </c>
      <c r="BP438">
        <f t="shared" si="421"/>
        <v>0</v>
      </c>
    </row>
    <row r="439" spans="14:68">
      <c r="N439" s="7">
        <v>21</v>
      </c>
      <c r="O439" s="18">
        <f t="shared" si="422"/>
        <v>162181.009735893</v>
      </c>
      <c r="P439" s="86" t="str">
        <f t="shared" si="372"/>
        <v>54,5454545454545</v>
      </c>
      <c r="Q439" s="4" t="str">
        <f t="shared" si="373"/>
        <v>1+2075,08170540589i</v>
      </c>
      <c r="R439" s="4">
        <f t="shared" si="384"/>
        <v>2075.08194636024</v>
      </c>
      <c r="S439" s="4">
        <f t="shared" si="385"/>
        <v>1.57031441809704</v>
      </c>
      <c r="T439" s="4" t="str">
        <f t="shared" si="374"/>
        <v>1+15,9781291316254i</v>
      </c>
      <c r="U439" s="4">
        <f t="shared" si="386"/>
        <v>16.0093913234356</v>
      </c>
      <c r="V439" s="4">
        <f t="shared" si="387"/>
        <v>1.50829230011206</v>
      </c>
      <c r="W439" t="str">
        <f t="shared" si="375"/>
        <v>1-45,855600186425i</v>
      </c>
      <c r="X439" s="4">
        <f t="shared" si="388"/>
        <v>45.8665026839551</v>
      </c>
      <c r="Y439" s="4">
        <f t="shared" si="389"/>
        <v>-1.54899219561935</v>
      </c>
      <c r="Z439" t="str">
        <f t="shared" si="376"/>
        <v>0,785284245559561+3,1662200128722i</v>
      </c>
      <c r="AA439" s="4">
        <f t="shared" si="390"/>
        <v>3.26214967716634</v>
      </c>
      <c r="AB439" s="4">
        <f t="shared" si="391"/>
        <v>1.32768254806663</v>
      </c>
      <c r="AC439" s="67" t="str">
        <f t="shared" si="392"/>
        <v>-5,79546951091754-1,1922822299112i</v>
      </c>
      <c r="AD439" s="68">
        <f t="shared" si="393"/>
        <v>15.4417975245796</v>
      </c>
      <c r="AE439" s="31">
        <f t="shared" si="394"/>
        <v>-168.374927442086</v>
      </c>
      <c r="AF439" s="32" t="str">
        <f t="shared" si="395"/>
        <v>432,040091031901</v>
      </c>
      <c r="AG439" s="32" t="str">
        <f t="shared" si="377"/>
        <v>1+1690,80731551591i</v>
      </c>
      <c r="AH439" s="32">
        <f t="shared" si="396"/>
        <v>1690.80761123261</v>
      </c>
      <c r="AI439" s="32">
        <f t="shared" si="397"/>
        <v>1.57020489341616</v>
      </c>
      <c r="AJ439" s="32" t="str">
        <f t="shared" si="378"/>
        <v>1+15,9781291316254i</v>
      </c>
      <c r="AK439" s="32">
        <f t="shared" si="398"/>
        <v>16.0093913234356</v>
      </c>
      <c r="AL439" s="32">
        <f t="shared" si="399"/>
        <v>1.50829230011206</v>
      </c>
      <c r="AM439" s="32" t="str">
        <f t="shared" si="379"/>
        <v>1-4,71711514885846i</v>
      </c>
      <c r="AN439" s="32">
        <f t="shared" si="400"/>
        <v>4.82194725474989</v>
      </c>
      <c r="AO439" s="32">
        <f t="shared" si="401"/>
        <v>-1.36189514384031</v>
      </c>
      <c r="AP439" s="30" t="str">
        <f t="shared" si="402"/>
        <v>2,88898812639877-19,512752327504i</v>
      </c>
      <c r="AQ439" s="32">
        <f t="shared" si="403"/>
        <v>25.900542612634</v>
      </c>
      <c r="AR439" s="31">
        <f t="shared" si="404"/>
        <v>-81.5781741764475</v>
      </c>
      <c r="AS439" t="str">
        <f t="shared" si="380"/>
        <v>-0,000201496259351621</v>
      </c>
      <c r="AT439" t="str">
        <f t="shared" si="381"/>
        <v>0,228972296930882i</v>
      </c>
      <c r="AU439">
        <f t="shared" si="405"/>
        <v>0.228972296930882</v>
      </c>
      <c r="AV439">
        <f t="shared" si="406"/>
        <v>1.5707963267949</v>
      </c>
      <c r="AW439" t="str">
        <f t="shared" si="382"/>
        <v>1+11,7229616260603i</v>
      </c>
      <c r="AX439">
        <f t="shared" si="407"/>
        <v>11.7655356565726</v>
      </c>
      <c r="AY439">
        <f t="shared" si="408"/>
        <v>1.4856996548793</v>
      </c>
      <c r="AZ439" t="str">
        <f t="shared" si="383"/>
        <v>1+560,45733561186i</v>
      </c>
      <c r="BA439">
        <f t="shared" si="409"/>
        <v>560.458227739717</v>
      </c>
      <c r="BB439">
        <f t="shared" si="410"/>
        <v>1.5690120715532</v>
      </c>
      <c r="BC439" s="30" t="str">
        <f t="shared" si="411"/>
        <v>-0,0034883721047777+0,0417740551083204i</v>
      </c>
      <c r="BD439" s="32">
        <f t="shared" si="412"/>
        <v>-27.5516881562785</v>
      </c>
      <c r="BE439" s="31">
        <f t="shared" si="413"/>
        <v>94.7734498564498</v>
      </c>
      <c r="BF439" s="30" t="str">
        <f t="shared" si="414"/>
        <v>0,070023217752956-0,237941138655816i</v>
      </c>
      <c r="BG439" s="68">
        <f t="shared" si="415"/>
        <v>-12.1098906316988</v>
      </c>
      <c r="BH439" s="31">
        <f t="shared" si="416"/>
        <v>-73.6014775856367</v>
      </c>
      <c r="BI439" s="30" t="str">
        <f t="shared" si="423"/>
        <v>0,805048925452996+0,188752490106167i</v>
      </c>
      <c r="BJ439" s="68">
        <f t="shared" si="417"/>
        <v>-1.65114554364449</v>
      </c>
      <c r="BK439" s="31">
        <f t="shared" si="424"/>
        <v>13.1952756800024</v>
      </c>
      <c r="BL439" s="32">
        <f t="shared" si="418"/>
        <v>-12.1098906316988</v>
      </c>
      <c r="BM439" s="31">
        <f t="shared" si="419"/>
        <v>-73.6014775856367</v>
      </c>
      <c r="BO439">
        <f t="shared" si="420"/>
        <v>0</v>
      </c>
      <c r="BP439">
        <f t="shared" si="421"/>
        <v>0</v>
      </c>
    </row>
    <row r="440" spans="14:68">
      <c r="N440" s="7">
        <v>22</v>
      </c>
      <c r="O440" s="18">
        <f t="shared" si="422"/>
        <v>165958.690743756</v>
      </c>
      <c r="P440" s="86" t="str">
        <f t="shared" si="372"/>
        <v>54,5454545454545</v>
      </c>
      <c r="Q440" s="4" t="str">
        <f t="shared" si="373"/>
        <v>1+2123,41656755186i</v>
      </c>
      <c r="R440" s="4">
        <f t="shared" si="384"/>
        <v>2123.41680302142</v>
      </c>
      <c r="S440" s="4">
        <f t="shared" si="385"/>
        <v>1.57032538767661</v>
      </c>
      <c r="T440" s="4" t="str">
        <f t="shared" si="374"/>
        <v>1+16,3503075701493i</v>
      </c>
      <c r="U440" s="4">
        <f t="shared" si="386"/>
        <v>16.3808594902246</v>
      </c>
      <c r="V440" s="4">
        <f t="shared" si="387"/>
        <v>1.50971148784892</v>
      </c>
      <c r="W440" t="str">
        <f t="shared" si="375"/>
        <v>1-46,9237143275969i</v>
      </c>
      <c r="X440" s="4">
        <f t="shared" si="388"/>
        <v>46.9343687109768</v>
      </c>
      <c r="Y440" s="4">
        <f t="shared" si="389"/>
        <v>-1.5494883662746</v>
      </c>
      <c r="Z440" t="str">
        <f t="shared" si="376"/>
        <v>0,775165003809128+3,23997075119121i</v>
      </c>
      <c r="AA440" s="4">
        <f t="shared" si="390"/>
        <v>3.331409799425</v>
      </c>
      <c r="AB440" s="4">
        <f t="shared" si="391"/>
        <v>1.33596003513821</v>
      </c>
      <c r="AC440" s="67" t="str">
        <f t="shared" si="392"/>
        <v>-5,81523777866367-1,15177125905531i</v>
      </c>
      <c r="AD440" s="68">
        <f t="shared" si="393"/>
        <v>15.4584584502594</v>
      </c>
      <c r="AE440" s="31">
        <f t="shared" si="394"/>
        <v>-168.796936043679</v>
      </c>
      <c r="AF440" s="32" t="str">
        <f t="shared" si="395"/>
        <v>432,040091031901</v>
      </c>
      <c r="AG440" s="32" t="str">
        <f t="shared" si="377"/>
        <v>1+1730,19127726447i</v>
      </c>
      <c r="AH440" s="32">
        <f t="shared" si="396"/>
        <v>1730.19156624984</v>
      </c>
      <c r="AI440" s="32">
        <f t="shared" si="397"/>
        <v>1.57021835608045</v>
      </c>
      <c r="AJ440" s="32" t="str">
        <f t="shared" si="378"/>
        <v>1+16,3503075701493i</v>
      </c>
      <c r="AK440" s="32">
        <f t="shared" si="398"/>
        <v>16.3808594902246</v>
      </c>
      <c r="AL440" s="32">
        <f t="shared" si="399"/>
        <v>1.50971148784892</v>
      </c>
      <c r="AM440" s="32" t="str">
        <f t="shared" si="379"/>
        <v>1-4,82699087560826i</v>
      </c>
      <c r="AN440" s="32">
        <f t="shared" si="400"/>
        <v>4.92948688133008</v>
      </c>
      <c r="AO440" s="32">
        <f t="shared" si="401"/>
        <v>-1.36651766743507</v>
      </c>
      <c r="AP440" s="30" t="str">
        <f t="shared" si="402"/>
        <v>2,88898137014566-19,9555731066359i</v>
      </c>
      <c r="AQ440" s="32">
        <f t="shared" si="403"/>
        <v>26.0913651690473</v>
      </c>
      <c r="AR440" s="31">
        <f t="shared" si="404"/>
        <v>-81.762483155312</v>
      </c>
      <c r="AS440" t="str">
        <f t="shared" si="380"/>
        <v>-0,000201496259351621</v>
      </c>
      <c r="AT440" t="str">
        <f t="shared" si="381"/>
        <v>0,2343057468758i</v>
      </c>
      <c r="AU440">
        <f t="shared" si="405"/>
        <v>0.2343057468758</v>
      </c>
      <c r="AV440">
        <f t="shared" si="406"/>
        <v>1.5707963267949</v>
      </c>
      <c r="AW440" t="str">
        <f t="shared" si="382"/>
        <v>1+11,9960244807237i</v>
      </c>
      <c r="AX440">
        <f t="shared" si="407"/>
        <v>12.0376327964481</v>
      </c>
      <c r="AY440">
        <f t="shared" si="408"/>
        <v>1.48762766850863</v>
      </c>
      <c r="AZ440" t="str">
        <f t="shared" si="383"/>
        <v>1+573,512064003961i</v>
      </c>
      <c r="BA440">
        <f t="shared" si="409"/>
        <v>573.51293582454</v>
      </c>
      <c r="BB440">
        <f t="shared" si="410"/>
        <v>1.56905268607775</v>
      </c>
      <c r="BC440" s="30" t="str">
        <f t="shared" si="411"/>
        <v>-0,00333245298678601+0,0408361590879487i</v>
      </c>
      <c r="BD440" s="32">
        <f t="shared" si="412"/>
        <v>-27.7502765155763</v>
      </c>
      <c r="BE440" s="31">
        <f t="shared" si="413"/>
        <v>94.6653098534894</v>
      </c>
      <c r="BF440" s="30" t="str">
        <f t="shared" si="414"/>
        <v>0,0664129208720882-0,233633751491426i</v>
      </c>
      <c r="BG440" s="68">
        <f t="shared" si="415"/>
        <v>-12.2918180653168</v>
      </c>
      <c r="BH440" s="31">
        <f t="shared" si="416"/>
        <v>-74.1316261901897</v>
      </c>
      <c r="BI440" s="30" t="str">
        <f t="shared" si="423"/>
        <v>0,805281563478063+0,184475912035624i</v>
      </c>
      <c r="BJ440" s="68">
        <f t="shared" si="417"/>
        <v>-1.65891134652892</v>
      </c>
      <c r="BK440" s="31">
        <f t="shared" si="424"/>
        <v>12.9028266981774</v>
      </c>
      <c r="BL440" s="32">
        <f t="shared" si="418"/>
        <v>-12.2918180653168</v>
      </c>
      <c r="BM440" s="31">
        <f t="shared" si="419"/>
        <v>-74.1316261901897</v>
      </c>
      <c r="BO440">
        <f t="shared" si="420"/>
        <v>0</v>
      </c>
      <c r="BP440">
        <f t="shared" si="421"/>
        <v>0</v>
      </c>
    </row>
    <row r="441" spans="14:68">
      <c r="N441" s="7">
        <v>23</v>
      </c>
      <c r="O441" s="18">
        <f t="shared" si="422"/>
        <v>169824.365246175</v>
      </c>
      <c r="P441" s="86" t="str">
        <f t="shared" si="372"/>
        <v>54,5454545454545</v>
      </c>
      <c r="Q441" s="4" t="str">
        <f t="shared" si="373"/>
        <v>1+2172,87729326868i</v>
      </c>
      <c r="R441" s="4">
        <f t="shared" si="384"/>
        <v>2172.8775233783</v>
      </c>
      <c r="S441" s="4">
        <f t="shared" si="385"/>
        <v>1.57033610755817</v>
      </c>
      <c r="T441" s="4" t="str">
        <f t="shared" si="374"/>
        <v>1+16,7311551581689i</v>
      </c>
      <c r="U441" s="4">
        <f t="shared" si="386"/>
        <v>16.7610128848683</v>
      </c>
      <c r="V441" s="4">
        <f t="shared" si="387"/>
        <v>1.51109860903105</v>
      </c>
      <c r="W441" t="str">
        <f t="shared" si="375"/>
        <v>1-48,0167080432142i</v>
      </c>
      <c r="X441" s="4">
        <f t="shared" si="388"/>
        <v>48.0271199564087</v>
      </c>
      <c r="Y441" s="4">
        <f t="shared" si="389"/>
        <v>-1.54997325284629</v>
      </c>
      <c r="Z441" t="str">
        <f t="shared" si="376"/>
        <v>0,76456885688762+3,3154393648886i</v>
      </c>
      <c r="AA441" s="4">
        <f t="shared" si="390"/>
        <v>3.40245554257148</v>
      </c>
      <c r="AB441" s="4">
        <f t="shared" si="391"/>
        <v>1.3441499854881</v>
      </c>
      <c r="AC441" s="67" t="str">
        <f t="shared" si="392"/>
        <v>-5,83415543906513-1,11133064845337i</v>
      </c>
      <c r="AD441" s="68">
        <f t="shared" si="393"/>
        <v>15.4743532481926</v>
      </c>
      <c r="AE441" s="31">
        <f t="shared" si="394"/>
        <v>-169.215105601812</v>
      </c>
      <c r="AF441" s="32" t="str">
        <f t="shared" si="395"/>
        <v>432,040091031901</v>
      </c>
      <c r="AG441" s="32" t="str">
        <f t="shared" si="377"/>
        <v>1+1770,49260933003i</v>
      </c>
      <c r="AH441" s="32">
        <f t="shared" si="396"/>
        <v>1770.49289173729</v>
      </c>
      <c r="AI441" s="32">
        <f t="shared" si="397"/>
        <v>1.57023151229729</v>
      </c>
      <c r="AJ441" s="32" t="str">
        <f t="shared" si="378"/>
        <v>1+16,7311551581689i</v>
      </c>
      <c r="AK441" s="32">
        <f t="shared" si="398"/>
        <v>16.7610128848683</v>
      </c>
      <c r="AL441" s="32">
        <f t="shared" si="399"/>
        <v>1.51109860903105</v>
      </c>
      <c r="AM441" s="32" t="str">
        <f t="shared" si="379"/>
        <v>1-4,9394259368131i</v>
      </c>
      <c r="AN441" s="32">
        <f t="shared" si="400"/>
        <v>5.03963575918558</v>
      </c>
      <c r="AO441" s="32">
        <f t="shared" si="401"/>
        <v>-1.37104354060347</v>
      </c>
      <c r="AP441" s="30" t="str">
        <f t="shared" si="402"/>
        <v>2,88897491797384-20,4089745944207i</v>
      </c>
      <c r="AQ441" s="32">
        <f t="shared" si="403"/>
        <v>26.2825854045849</v>
      </c>
      <c r="AR441" s="31">
        <f t="shared" si="404"/>
        <v>-81.9430741927633</v>
      </c>
      <c r="AS441" t="str">
        <f t="shared" si="380"/>
        <v>-0,000201496259351621</v>
      </c>
      <c r="AT441" t="str">
        <f t="shared" si="381"/>
        <v>0,239763428829115i</v>
      </c>
      <c r="AU441">
        <f t="shared" si="405"/>
        <v>0.239763428829115</v>
      </c>
      <c r="AV441">
        <f t="shared" si="406"/>
        <v>1.5707963267949</v>
      </c>
      <c r="AW441" t="str">
        <f t="shared" si="382"/>
        <v>1+12,275447786353i</v>
      </c>
      <c r="AX441">
        <f t="shared" si="407"/>
        <v>12.3161121444829</v>
      </c>
      <c r="AY441">
        <f t="shared" si="408"/>
        <v>1.4895123942291</v>
      </c>
      <c r="AZ441" t="str">
        <f t="shared" si="383"/>
        <v>1+586,870876083728i</v>
      </c>
      <c r="BA441">
        <f t="shared" si="409"/>
        <v>586.871728059277</v>
      </c>
      <c r="BB441">
        <f t="shared" si="410"/>
        <v>1.56909237610841</v>
      </c>
      <c r="BC441" s="30" t="str">
        <f t="shared" si="411"/>
        <v>-0,0031834566782605+0,0399187523709774i</v>
      </c>
      <c r="BD441" s="32">
        <f t="shared" si="412"/>
        <v>-27.9489279803279</v>
      </c>
      <c r="BE441" s="31">
        <f t="shared" si="413"/>
        <v>94.5595970954116</v>
      </c>
      <c r="BF441" s="30" t="str">
        <f t="shared" si="414"/>
        <v>0,0629357140523895-0,229354333291257i</v>
      </c>
      <c r="BG441" s="68">
        <f t="shared" si="415"/>
        <v>-12.4745747321353</v>
      </c>
      <c r="BH441" s="31">
        <f t="shared" si="416"/>
        <v>-74.6555085064004</v>
      </c>
      <c r="BI441" s="30" t="str">
        <f t="shared" si="423"/>
        <v>0,805503876484298+0,18029536082562i</v>
      </c>
      <c r="BJ441" s="68">
        <f t="shared" si="417"/>
        <v>-1.66634257574308</v>
      </c>
      <c r="BK441" s="31">
        <f t="shared" si="424"/>
        <v>12.6165229026483</v>
      </c>
      <c r="BL441" s="32">
        <f t="shared" si="418"/>
        <v>-12.4745747321353</v>
      </c>
      <c r="BM441" s="31">
        <f t="shared" si="419"/>
        <v>-74.6555085064004</v>
      </c>
      <c r="BO441">
        <f t="shared" si="420"/>
        <v>0</v>
      </c>
      <c r="BP441">
        <f t="shared" si="421"/>
        <v>0</v>
      </c>
    </row>
    <row r="442" spans="14:68">
      <c r="N442" s="7">
        <v>24</v>
      </c>
      <c r="O442" s="18">
        <f t="shared" si="422"/>
        <v>173780.082874938</v>
      </c>
      <c r="P442" s="86" t="str">
        <f t="shared" si="372"/>
        <v>54,5454545454545</v>
      </c>
      <c r="Q442" s="4" t="str">
        <f t="shared" si="373"/>
        <v>1+2223,4901072878i</v>
      </c>
      <c r="R442" s="4">
        <f t="shared" si="384"/>
        <v>2223.49033215949</v>
      </c>
      <c r="S442" s="4">
        <f t="shared" si="385"/>
        <v>1.57034658342554</v>
      </c>
      <c r="T442" s="4" t="str">
        <f t="shared" si="374"/>
        <v>1+17,1208738261161i</v>
      </c>
      <c r="U442" s="4">
        <f t="shared" si="386"/>
        <v>17.1500530777542</v>
      </c>
      <c r="V442" s="4">
        <f t="shared" si="387"/>
        <v>1.51245437776464</v>
      </c>
      <c r="W442" t="str">
        <f t="shared" si="375"/>
        <v>1-49,1351608530117i</v>
      </c>
      <c r="X442" s="4">
        <f t="shared" si="388"/>
        <v>49.1453358117668</v>
      </c>
      <c r="Y442" s="4">
        <f t="shared" si="389"/>
        <v>-1.55044711151517</v>
      </c>
      <c r="Z442" t="str">
        <f t="shared" si="376"/>
        <v>0,753473328946772+3,39266586842224i</v>
      </c>
      <c r="AA442" s="4">
        <f t="shared" si="390"/>
        <v>3.4753278625464</v>
      </c>
      <c r="AB442" s="4">
        <f t="shared" si="391"/>
        <v>1.35225446134895</v>
      </c>
      <c r="AC442" s="67" t="str">
        <f t="shared" si="392"/>
        <v>-5,85224171494477-1,07096999370248i</v>
      </c>
      <c r="AD442" s="68">
        <f t="shared" si="393"/>
        <v>15.4895062599541</v>
      </c>
      <c r="AE442" s="31">
        <f t="shared" si="394"/>
        <v>-169.629528362173</v>
      </c>
      <c r="AF442" s="32" t="str">
        <f t="shared" si="395"/>
        <v>432,040091031901</v>
      </c>
      <c r="AG442" s="32" t="str">
        <f t="shared" si="377"/>
        <v>1+1811,73268001228i</v>
      </c>
      <c r="AH442" s="32">
        <f t="shared" si="396"/>
        <v>1811.73295599116</v>
      </c>
      <c r="AI442" s="32">
        <f t="shared" si="397"/>
        <v>1.57024436904225</v>
      </c>
      <c r="AJ442" s="32" t="str">
        <f t="shared" si="378"/>
        <v>1+17,1208738261161i</v>
      </c>
      <c r="AK442" s="32">
        <f t="shared" si="398"/>
        <v>17.1500530777542</v>
      </c>
      <c r="AL442" s="32">
        <f t="shared" si="399"/>
        <v>1.51245437776464</v>
      </c>
      <c r="AM442" s="32" t="str">
        <f t="shared" si="379"/>
        <v>1-5,05447994703062i</v>
      </c>
      <c r="AN442" s="32">
        <f t="shared" si="400"/>
        <v>5.15245257473901</v>
      </c>
      <c r="AO442" s="32">
        <f t="shared" si="401"/>
        <v>-1.37547442102653</v>
      </c>
      <c r="AP442" s="30" t="str">
        <f t="shared" si="402"/>
        <v>2,88896875619737-20,8731971903518i</v>
      </c>
      <c r="AQ442" s="32">
        <f t="shared" si="403"/>
        <v>26.4741867217408</v>
      </c>
      <c r="AR442" s="31">
        <f t="shared" si="404"/>
        <v>-82.1200017513259</v>
      </c>
      <c r="AS442" t="str">
        <f t="shared" si="380"/>
        <v>-0,000201496259351621</v>
      </c>
      <c r="AT442" t="str">
        <f t="shared" si="381"/>
        <v>0,245348236526039i</v>
      </c>
      <c r="AU442">
        <f t="shared" si="405"/>
        <v>0.245348236526039</v>
      </c>
      <c r="AV442">
        <f t="shared" si="406"/>
        <v>1.5707963267949</v>
      </c>
      <c r="AW442" t="str">
        <f t="shared" si="382"/>
        <v>1+12,5613796968833i</v>
      </c>
      <c r="AX442">
        <f t="shared" si="407"/>
        <v>12.6011213742774</v>
      </c>
      <c r="AY442">
        <f t="shared" si="408"/>
        <v>1.4913547777582</v>
      </c>
      <c r="AZ442" t="str">
        <f t="shared" si="383"/>
        <v>1+600,540854870142i</v>
      </c>
      <c r="BA442">
        <f t="shared" si="409"/>
        <v>600.541687452387</v>
      </c>
      <c r="BB442">
        <f t="shared" si="410"/>
        <v>1.56913116268885</v>
      </c>
      <c r="BC442" s="30" t="str">
        <f t="shared" si="411"/>
        <v>-0,00304107985403472+0,0390214251203734i</v>
      </c>
      <c r="BD442" s="32">
        <f t="shared" si="412"/>
        <v>-28.1476397478107</v>
      </c>
      <c r="BE442" s="31">
        <f t="shared" si="413"/>
        <v>94.4562586023113</v>
      </c>
      <c r="BF442" s="30" t="str">
        <f t="shared" si="414"/>
        <v>0,0595879097956882-0,225105906593919i</v>
      </c>
      <c r="BG442" s="68">
        <f t="shared" si="415"/>
        <v>-12.6581334878566</v>
      </c>
      <c r="BH442" s="31">
        <f t="shared" si="416"/>
        <v>-75.1732697598618</v>
      </c>
      <c r="BI442" s="30" t="str">
        <f t="shared" si="423"/>
        <v>0,805716316502694+0,176208737459927i</v>
      </c>
      <c r="BJ442" s="68">
        <f t="shared" si="417"/>
        <v>-1.67345302606983</v>
      </c>
      <c r="BK442" s="31">
        <f t="shared" si="424"/>
        <v>12.3362568509854</v>
      </c>
      <c r="BL442" s="32">
        <f t="shared" si="418"/>
        <v>-12.6581334878566</v>
      </c>
      <c r="BM442" s="31">
        <f t="shared" si="419"/>
        <v>-75.1732697598618</v>
      </c>
      <c r="BO442">
        <f t="shared" si="420"/>
        <v>0</v>
      </c>
      <c r="BP442">
        <f t="shared" si="421"/>
        <v>0</v>
      </c>
    </row>
    <row r="443" spans="14:68">
      <c r="N443" s="7">
        <v>25</v>
      </c>
      <c r="O443" s="18">
        <f t="shared" si="422"/>
        <v>177827.941003893</v>
      </c>
      <c r="P443" s="86" t="str">
        <f t="shared" si="372"/>
        <v>54,5454545454545</v>
      </c>
      <c r="Q443" s="4" t="str">
        <f t="shared" si="373"/>
        <v>1+2275,2818451932i</v>
      </c>
      <c r="R443" s="4">
        <f t="shared" si="384"/>
        <v>2275.28206494618</v>
      </c>
      <c r="S443" s="4">
        <f t="shared" si="385"/>
        <v>1.57035682083315</v>
      </c>
      <c r="T443" s="4" t="str">
        <f t="shared" si="374"/>
        <v>1+17,5196702079876i</v>
      </c>
      <c r="U443" s="4">
        <f t="shared" si="386"/>
        <v>17.548186350636</v>
      </c>
      <c r="V443" s="4">
        <f t="shared" si="387"/>
        <v>1.51377949294855</v>
      </c>
      <c r="W443" t="str">
        <f t="shared" si="375"/>
        <v>1-50,2796657754748i</v>
      </c>
      <c r="X443" s="4">
        <f t="shared" si="388"/>
        <v>50.2896091702198</v>
      </c>
      <c r="Y443" s="4">
        <f t="shared" si="389"/>
        <v>-1.55091019267567</v>
      </c>
      <c r="Z443" t="str">
        <f t="shared" si="376"/>
        <v>0,74185488488421+3,47169120830659i</v>
      </c>
      <c r="AA443" s="4">
        <f t="shared" si="390"/>
        <v>3.55006880441208</v>
      </c>
      <c r="AB443" s="4">
        <f t="shared" si="391"/>
        <v>1.36027560163122</v>
      </c>
      <c r="AC443" s="67" t="str">
        <f t="shared" si="392"/>
        <v>-5,86951561355977-1,03069755012041i</v>
      </c>
      <c r="AD443" s="68">
        <f t="shared" si="393"/>
        <v>15.5039409930511</v>
      </c>
      <c r="AE443" s="31">
        <f t="shared" si="394"/>
        <v>-170.04030149614</v>
      </c>
      <c r="AF443" s="32" t="str">
        <f t="shared" si="395"/>
        <v>432,040091031901</v>
      </c>
      <c r="AG443" s="32" t="str">
        <f t="shared" si="377"/>
        <v>1+1853,9333553426i</v>
      </c>
      <c r="AH443" s="32">
        <f t="shared" si="396"/>
        <v>1853.93362503944</v>
      </c>
      <c r="AI443" s="32">
        <f t="shared" si="397"/>
        <v>1.57025693313215</v>
      </c>
      <c r="AJ443" s="32" t="str">
        <f t="shared" si="378"/>
        <v>1+17,5196702079876i</v>
      </c>
      <c r="AK443" s="32">
        <f t="shared" si="398"/>
        <v>17.548186350636</v>
      </c>
      <c r="AL443" s="32">
        <f t="shared" si="399"/>
        <v>1.51377949294855</v>
      </c>
      <c r="AM443" s="32" t="str">
        <f t="shared" si="379"/>
        <v>1-5,17221390942005i</v>
      </c>
      <c r="AN443" s="32">
        <f t="shared" si="400"/>
        <v>5.26799741123686</v>
      </c>
      <c r="AO443" s="32">
        <f t="shared" si="401"/>
        <v>-1.37981196176303</v>
      </c>
      <c r="AP443" s="30" t="str">
        <f t="shared" si="402"/>
        <v>2,88896287174638-21,3484870314165i</v>
      </c>
      <c r="AQ443" s="32">
        <f t="shared" si="403"/>
        <v>26.6661531619756</v>
      </c>
      <c r="AR443" s="31">
        <f t="shared" si="404"/>
        <v>-82.2933208909113</v>
      </c>
      <c r="AS443" t="str">
        <f t="shared" si="380"/>
        <v>-0,000201496259351621</v>
      </c>
      <c r="AT443" t="str">
        <f t="shared" si="381"/>
        <v>0,251063131105537i</v>
      </c>
      <c r="AU443">
        <f t="shared" si="405"/>
        <v>0.251063131105537</v>
      </c>
      <c r="AV443">
        <f t="shared" si="406"/>
        <v>1.5707963267949</v>
      </c>
      <c r="AW443" t="str">
        <f t="shared" si="382"/>
        <v>1+12,8539718171985i</v>
      </c>
      <c r="AX443">
        <f t="shared" si="407"/>
        <v>12.8928116203307</v>
      </c>
      <c r="AY443">
        <f t="shared" si="408"/>
        <v>1.4931557458942</v>
      </c>
      <c r="AZ443" t="str">
        <f t="shared" si="383"/>
        <v>1+614,529248366912i</v>
      </c>
      <c r="BA443">
        <f t="shared" si="409"/>
        <v>614.530061997297</v>
      </c>
      <c r="BB443">
        <f t="shared" si="410"/>
        <v>1.56916906638378</v>
      </c>
      <c r="BC443" s="30" t="str">
        <f t="shared" si="411"/>
        <v>-0,00290503212499907+0,0381437731428297i</v>
      </c>
      <c r="BD443" s="32">
        <f t="shared" si="412"/>
        <v>-28.3464091381772</v>
      </c>
      <c r="BE443" s="31">
        <f t="shared" si="413"/>
        <v>94.3552424508283</v>
      </c>
      <c r="BF443" s="30" t="str">
        <f t="shared" si="414"/>
        <v>0,056365824946238-0,220891262527663i</v>
      </c>
      <c r="BG443" s="68">
        <f t="shared" si="415"/>
        <v>-12.842468145126</v>
      </c>
      <c r="BH443" s="31">
        <f t="shared" si="416"/>
        <v>-75.6850590453118</v>
      </c>
      <c r="BI443" s="30" t="str">
        <f t="shared" si="423"/>
        <v>0,80591931631864+0,172213985044343i</v>
      </c>
      <c r="BJ443" s="68">
        <f t="shared" si="417"/>
        <v>-1.68025597620152</v>
      </c>
      <c r="BK443" s="31">
        <f t="shared" si="424"/>
        <v>12.061921559917</v>
      </c>
      <c r="BL443" s="32">
        <f t="shared" si="418"/>
        <v>-12.842468145126</v>
      </c>
      <c r="BM443" s="31">
        <f t="shared" si="419"/>
        <v>-75.6850590453118</v>
      </c>
      <c r="BO443">
        <f t="shared" si="420"/>
        <v>0</v>
      </c>
      <c r="BP443">
        <f t="shared" si="421"/>
        <v>0</v>
      </c>
    </row>
    <row r="444" spans="14:68">
      <c r="N444" s="7">
        <v>26</v>
      </c>
      <c r="O444" s="18">
        <f t="shared" si="422"/>
        <v>181970.085860999</v>
      </c>
      <c r="P444" s="86" t="str">
        <f t="shared" si="372"/>
        <v>54,5454545454545</v>
      </c>
      <c r="Q444" s="4" t="str">
        <f t="shared" si="373"/>
        <v>1+2328,27996764982i</v>
      </c>
      <c r="R444" s="4">
        <f t="shared" si="384"/>
        <v>2328.28018240062</v>
      </c>
      <c r="S444" s="4">
        <f t="shared" si="385"/>
        <v>1.570366825209</v>
      </c>
      <c r="T444" s="4" t="str">
        <f t="shared" si="374"/>
        <v>1+17,9277557509037i</v>
      </c>
      <c r="U444" s="4">
        <f t="shared" si="386"/>
        <v>17.9556238060408</v>
      </c>
      <c r="V444" s="4">
        <f t="shared" si="387"/>
        <v>1.51507463855139</v>
      </c>
      <c r="W444" t="str">
        <f t="shared" si="375"/>
        <v>1-51,4508296422619i</v>
      </c>
      <c r="X444" s="4">
        <f t="shared" si="388"/>
        <v>51.4605467409457</v>
      </c>
      <c r="Y444" s="4">
        <f t="shared" si="389"/>
        <v>-1.55136274106464</v>
      </c>
      <c r="Z444" t="str">
        <f t="shared" si="376"/>
        <v>0,72968888042237+3,55255728482284i</v>
      </c>
      <c r="AA444" s="4">
        <f t="shared" si="390"/>
        <v>3.62672153937408</v>
      </c>
      <c r="AB444" s="4">
        <f t="shared" si="391"/>
        <v>1.36821561696509</v>
      </c>
      <c r="AC444" s="67" t="str">
        <f t="shared" si="392"/>
        <v>-5,88599586696692-0,990520282886137i</v>
      </c>
      <c r="AD444" s="68">
        <f t="shared" si="393"/>
        <v>15.5176801169501</v>
      </c>
      <c r="AE444" s="31">
        <f t="shared" si="394"/>
        <v>-170.447526808369</v>
      </c>
      <c r="AF444" s="32" t="str">
        <f t="shared" si="395"/>
        <v>432,040091031901</v>
      </c>
      <c r="AG444" s="32" t="str">
        <f t="shared" si="377"/>
        <v>1+1897,11701067763i</v>
      </c>
      <c r="AH444" s="32">
        <f t="shared" si="396"/>
        <v>1897.11727423542</v>
      </c>
      <c r="AI444" s="32">
        <f t="shared" si="397"/>
        <v>1.57026921122862</v>
      </c>
      <c r="AJ444" s="32" t="str">
        <f t="shared" si="378"/>
        <v>1+17,9277557509037i</v>
      </c>
      <c r="AK444" s="32">
        <f t="shared" si="398"/>
        <v>17.9556238060408</v>
      </c>
      <c r="AL444" s="32">
        <f t="shared" si="399"/>
        <v>1.51507463855139</v>
      </c>
      <c r="AM444" s="32" t="str">
        <f t="shared" si="379"/>
        <v>1-5,29269024808659i</v>
      </c>
      <c r="AN444" s="32">
        <f t="shared" si="400"/>
        <v>5.38633178166653</v>
      </c>
      <c r="AO444" s="32">
        <f t="shared" si="401"/>
        <v>-1.38405780945995</v>
      </c>
      <c r="AP444" s="30" t="str">
        <f t="shared" si="402"/>
        <v>2,88895725213918-21,8350961226003i</v>
      </c>
      <c r="AQ444" s="32">
        <f t="shared" si="403"/>
        <v>26.8584693856745</v>
      </c>
      <c r="AR444" s="31">
        <f t="shared" si="404"/>
        <v>-82.4630871506105</v>
      </c>
      <c r="AS444" t="str">
        <f t="shared" si="380"/>
        <v>-0,000201496259351621</v>
      </c>
      <c r="AT444" t="str">
        <f t="shared" si="381"/>
        <v>0,25691114268036i</v>
      </c>
      <c r="AU444">
        <f t="shared" si="405"/>
        <v>0.25691114268036</v>
      </c>
      <c r="AV444">
        <f t="shared" si="406"/>
        <v>1.5707963267949</v>
      </c>
      <c r="AW444" t="str">
        <f t="shared" si="382"/>
        <v>1+13,1533792835135i</v>
      </c>
      <c r="AX444">
        <f t="shared" si="407"/>
        <v>13.19133755826</v>
      </c>
      <c r="AY444">
        <f t="shared" si="408"/>
        <v>1.49491620677683</v>
      </c>
      <c r="AZ444" t="str">
        <f t="shared" si="383"/>
        <v>1+628,843473405421i</v>
      </c>
      <c r="BA444">
        <f t="shared" si="409"/>
        <v>628.844268515341</v>
      </c>
      <c r="BB444">
        <f t="shared" si="410"/>
        <v>1.56920610728979</v>
      </c>
      <c r="BC444" s="30" t="str">
        <f t="shared" si="411"/>
        <v>-0,00277503551755045+0,037285397996673i</v>
      </c>
      <c r="BD444" s="32">
        <f t="shared" si="412"/>
        <v>-28.5452335892092</v>
      </c>
      <c r="BE444" s="31">
        <f t="shared" si="413"/>
        <v>94.2564977598393</v>
      </c>
      <c r="BF444" s="30" t="str">
        <f t="shared" si="414"/>
        <v>0,0532657905581751-0,216712969540771i</v>
      </c>
      <c r="BG444" s="68">
        <f t="shared" si="415"/>
        <v>-13.0275534722591</v>
      </c>
      <c r="BH444" s="31">
        <f t="shared" si="416"/>
        <v>-76.19102904853</v>
      </c>
      <c r="BI444" s="30" t="str">
        <f t="shared" si="423"/>
        <v>0,806113290243393+0,168309088210728i</v>
      </c>
      <c r="BJ444" s="68">
        <f t="shared" si="417"/>
        <v>-1.68676420353467</v>
      </c>
      <c r="BK444" s="31">
        <f t="shared" si="424"/>
        <v>11.7934106092287</v>
      </c>
      <c r="BL444" s="32">
        <f t="shared" si="418"/>
        <v>-13.0275534722591</v>
      </c>
      <c r="BM444" s="31">
        <f t="shared" si="419"/>
        <v>-76.19102904853</v>
      </c>
      <c r="BO444">
        <f t="shared" si="420"/>
        <v>0</v>
      </c>
      <c r="BP444">
        <f t="shared" si="421"/>
        <v>0</v>
      </c>
    </row>
    <row r="445" spans="14:68">
      <c r="N445" s="7">
        <v>27</v>
      </c>
      <c r="O445" s="18">
        <f t="shared" si="422"/>
        <v>186208.713666287</v>
      </c>
      <c r="P445" s="86" t="str">
        <f t="shared" si="372"/>
        <v>54,5454545454545</v>
      </c>
      <c r="Q445" s="4" t="str">
        <f t="shared" si="373"/>
        <v>1+2382,51257496372i</v>
      </c>
      <c r="R445" s="4">
        <f t="shared" si="384"/>
        <v>2382.51278482619</v>
      </c>
      <c r="S445" s="4">
        <f t="shared" si="385"/>
        <v>1.57037660185754</v>
      </c>
      <c r="T445" s="4" t="str">
        <f t="shared" si="374"/>
        <v>1+18,3453468272207i</v>
      </c>
      <c r="U445" s="4">
        <f t="shared" si="386"/>
        <v>18.3725814792319</v>
      </c>
      <c r="V445" s="4">
        <f t="shared" si="387"/>
        <v>1.51634048388681</v>
      </c>
      <c r="W445" t="str">
        <f t="shared" si="375"/>
        <v>1-52,6492734199574i</v>
      </c>
      <c r="X445" s="4">
        <f t="shared" si="388"/>
        <v>52.6587693708221</v>
      </c>
      <c r="Y445" s="4">
        <f t="shared" si="389"/>
        <v>-1.55180499588737</v>
      </c>
      <c r="Z445" t="str">
        <f t="shared" si="376"/>
        <v>0,716949509834664+3,63530697423515i</v>
      </c>
      <c r="AA445" s="4">
        <f t="shared" si="390"/>
        <v>3.70533040315906</v>
      </c>
      <c r="AB445" s="4">
        <f t="shared" si="391"/>
        <v>1.37607678494972</v>
      </c>
      <c r="AC445" s="67" t="str">
        <f t="shared" si="392"/>
        <v>-5,90170087709207-0,950443918104377i</v>
      </c>
      <c r="AD445" s="68">
        <f t="shared" si="393"/>
        <v>15.5307454609253</v>
      </c>
      <c r="AE445" s="31">
        <f t="shared" si="394"/>
        <v>-170.851310456207</v>
      </c>
      <c r="AF445" s="32" t="str">
        <f t="shared" si="395"/>
        <v>432,040091031901</v>
      </c>
      <c r="AG445" s="32" t="str">
        <f t="shared" si="377"/>
        <v>1+1941,30654256303i</v>
      </c>
      <c r="AH445" s="32">
        <f t="shared" si="396"/>
        <v>1941.30680012151</v>
      </c>
      <c r="AI445" s="32">
        <f t="shared" si="397"/>
        <v>1.57028120984164</v>
      </c>
      <c r="AJ445" s="32" t="str">
        <f t="shared" si="378"/>
        <v>1+18,3453468272207i</v>
      </c>
      <c r="AK445" s="32">
        <f t="shared" si="398"/>
        <v>18.3725814792319</v>
      </c>
      <c r="AL445" s="32">
        <f t="shared" si="399"/>
        <v>1.51634048388681</v>
      </c>
      <c r="AM445" s="32" t="str">
        <f t="shared" si="379"/>
        <v>1-5,41597284117969i</v>
      </c>
      <c r="AN445" s="32">
        <f t="shared" si="400"/>
        <v>5.50751866237383</v>
      </c>
      <c r="AO445" s="32">
        <f t="shared" si="401"/>
        <v>-1.38821360269866</v>
      </c>
      <c r="AP445" s="30" t="str">
        <f t="shared" si="402"/>
        <v>2,8889518854558-22,3332824705031i</v>
      </c>
      <c r="AQ445" s="32">
        <f t="shared" si="403"/>
        <v>27.0511206523365</v>
      </c>
      <c r="AR445" s="31">
        <f t="shared" si="404"/>
        <v>-82.6293564383675</v>
      </c>
      <c r="AS445" t="str">
        <f t="shared" si="380"/>
        <v>-0,000201496259351621</v>
      </c>
      <c r="AT445" t="str">
        <f t="shared" si="381"/>
        <v>0,262895371943653i</v>
      </c>
      <c r="AU445">
        <f t="shared" si="405"/>
        <v>0.262895371943653</v>
      </c>
      <c r="AV445">
        <f t="shared" si="406"/>
        <v>1.5707963267949</v>
      </c>
      <c r="AW445" t="str">
        <f t="shared" si="382"/>
        <v>1+13,4597608456302i</v>
      </c>
      <c r="AX445">
        <f t="shared" si="407"/>
        <v>13.4968574868952</v>
      </c>
      <c r="AY445">
        <f t="shared" si="408"/>
        <v>1.49663705015289</v>
      </c>
      <c r="AZ445" t="str">
        <f t="shared" si="383"/>
        <v>1+643,491119577256i</v>
      </c>
      <c r="BA445">
        <f t="shared" si="409"/>
        <v>643.491896588287</v>
      </c>
      <c r="BB445">
        <f t="shared" si="410"/>
        <v>1.56924230504606</v>
      </c>
      <c r="BC445" s="30" t="str">
        <f t="shared" si="411"/>
        <v>-0,00265082397121217+0,0364459070825612i</v>
      </c>
      <c r="BD445" s="32">
        <f t="shared" si="412"/>
        <v>-28.7441106512824</v>
      </c>
      <c r="BE445" s="31">
        <f t="shared" si="413"/>
        <v>94.1599746758505</v>
      </c>
      <c r="BF445" s="30" t="str">
        <f t="shared" si="414"/>
        <v>0,0502841608823371-0,212573382274164i</v>
      </c>
      <c r="BG445" s="68">
        <f t="shared" si="415"/>
        <v>-13.213365190357</v>
      </c>
      <c r="BH445" s="31">
        <f t="shared" si="416"/>
        <v>-76.6913357803561</v>
      </c>
      <c r="BI445" s="30" t="str">
        <f t="shared" si="423"/>
        <v>0,806298634858904+0,164492072511974i</v>
      </c>
      <c r="BJ445" s="68">
        <f t="shared" si="417"/>
        <v>-1.69298999894589</v>
      </c>
      <c r="BK445" s="31">
        <f t="shared" si="424"/>
        <v>11.5306182374829</v>
      </c>
      <c r="BL445" s="32">
        <f t="shared" si="418"/>
        <v>-13.213365190357</v>
      </c>
      <c r="BM445" s="31">
        <f t="shared" si="419"/>
        <v>-76.6913357803561</v>
      </c>
      <c r="BO445">
        <f t="shared" si="420"/>
        <v>0</v>
      </c>
      <c r="BP445">
        <f t="shared" si="421"/>
        <v>0</v>
      </c>
    </row>
    <row r="446" spans="14:68">
      <c r="N446" s="7">
        <v>28</v>
      </c>
      <c r="O446" s="18">
        <f t="shared" si="422"/>
        <v>190546.071796325</v>
      </c>
      <c r="P446" s="86" t="str">
        <f t="shared" si="372"/>
        <v>54,5454545454545</v>
      </c>
      <c r="Q446" s="4" t="str">
        <f t="shared" si="373"/>
        <v>1+2438,00842198115i</v>
      </c>
      <c r="R446" s="4">
        <f t="shared" si="384"/>
        <v>2438.00862706657</v>
      </c>
      <c r="S446" s="4">
        <f t="shared" si="385"/>
        <v>1.57038615596246</v>
      </c>
      <c r="T446" s="4" t="str">
        <f t="shared" si="374"/>
        <v>1+18,7726648492549i</v>
      </c>
      <c r="U446" s="4">
        <f t="shared" si="386"/>
        <v>18.7992804527846</v>
      </c>
      <c r="V446" s="4">
        <f t="shared" si="387"/>
        <v>1.51757768388682</v>
      </c>
      <c r="W446" t="str">
        <f t="shared" si="375"/>
        <v>1-53,8756325393158i</v>
      </c>
      <c r="X446" s="4">
        <f t="shared" si="388"/>
        <v>53.8849123736077</v>
      </c>
      <c r="Y446" s="4">
        <f t="shared" si="389"/>
        <v>-1.55223719094081</v>
      </c>
      <c r="Z446" t="str">
        <f t="shared" si="376"/>
        <v>0,703609751208075+3,71998415152418i</v>
      </c>
      <c r="AA446" s="4">
        <f t="shared" si="390"/>
        <v>3.78594093582905</v>
      </c>
      <c r="AB446" s="4">
        <f t="shared" si="391"/>
        <v>1.38386144561157</v>
      </c>
      <c r="AC446" s="67" t="str">
        <f t="shared" si="392"/>
        <v>-5,91664866529619-0,910472994469535i</v>
      </c>
      <c r="AD446" s="68">
        <f t="shared" si="393"/>
        <v>15.5431580135425</v>
      </c>
      <c r="AE446" s="31">
        <f t="shared" si="394"/>
        <v>-171.251762681035</v>
      </c>
      <c r="AF446" s="32" t="str">
        <f t="shared" si="395"/>
        <v>432,040091031901</v>
      </c>
      <c r="AG446" s="32" t="str">
        <f t="shared" si="377"/>
        <v>1+1986,52538087353i</v>
      </c>
      <c r="AH446" s="32">
        <f t="shared" si="396"/>
        <v>1986.52563256927</v>
      </c>
      <c r="AI446" s="32">
        <f t="shared" si="397"/>
        <v>1.57029293533302</v>
      </c>
      <c r="AJ446" s="32" t="str">
        <f t="shared" si="378"/>
        <v>1+18,7726648492549i</v>
      </c>
      <c r="AK446" s="32">
        <f t="shared" si="398"/>
        <v>18.7992804527846</v>
      </c>
      <c r="AL446" s="32">
        <f t="shared" si="399"/>
        <v>1.51757768388682</v>
      </c>
      <c r="AM446" s="32" t="str">
        <f t="shared" si="379"/>
        <v>1-5,54212705476206i</v>
      </c>
      <c r="AN446" s="32">
        <f t="shared" si="400"/>
        <v>5.63162252740057</v>
      </c>
      <c r="AO446" s="32">
        <f t="shared" si="401"/>
        <v>-1.39228097047058</v>
      </c>
      <c r="AP446" s="30" t="str">
        <f t="shared" si="402"/>
        <v>2,88894676031285-22,8433102201387i</v>
      </c>
      <c r="AQ446" s="32">
        <f t="shared" si="403"/>
        <v>27.2440928010322</v>
      </c>
      <c r="AR446" s="31">
        <f t="shared" si="404"/>
        <v>-82.7921849281809</v>
      </c>
      <c r="AS446" t="str">
        <f t="shared" si="380"/>
        <v>-0,000201496259351621</v>
      </c>
      <c r="AT446" t="str">
        <f t="shared" si="381"/>
        <v>0,269018991812982i</v>
      </c>
      <c r="AU446">
        <f t="shared" si="405"/>
        <v>0.269018991812982</v>
      </c>
      <c r="AV446">
        <f t="shared" si="406"/>
        <v>1.5707963267949</v>
      </c>
      <c r="AW446" t="str">
        <f t="shared" si="382"/>
        <v>1+13,7732789511083i</v>
      </c>
      <c r="AX446">
        <f t="shared" si="407"/>
        <v>13.809533412286</v>
      </c>
      <c r="AY446">
        <f t="shared" si="408"/>
        <v>1.49831914764599</v>
      </c>
      <c r="AZ446" t="str">
        <f t="shared" si="383"/>
        <v>1+658,479953258302i</v>
      </c>
      <c r="BA446">
        <f t="shared" si="409"/>
        <v>658.480712582423</v>
      </c>
      <c r="BB446">
        <f t="shared" si="410"/>
        <v>1.56927767884474</v>
      </c>
      <c r="BC446" s="30" t="str">
        <f t="shared" si="411"/>
        <v>-0,00253214285404726+0,0356249137182412i</v>
      </c>
      <c r="BD446" s="32">
        <f t="shared" si="412"/>
        <v>-28.9430379825355</v>
      </c>
      <c r="BE446" s="31">
        <f t="shared" si="413"/>
        <v>94.0656243581359</v>
      </c>
      <c r="BF446" s="30" t="str">
        <f t="shared" si="414"/>
        <v>0,0474173215085039-0,208474650515575i</v>
      </c>
      <c r="BG446" s="68">
        <f t="shared" si="415"/>
        <v>-13.3998799689929</v>
      </c>
      <c r="BH446" s="31">
        <f t="shared" si="416"/>
        <v>-77.1861383228994</v>
      </c>
      <c r="BI446" s="30" t="str">
        <f t="shared" si="423"/>
        <v>0,806475729736609+0,160761003809447i</v>
      </c>
      <c r="BJ446" s="68">
        <f t="shared" si="417"/>
        <v>-1.69894518150321</v>
      </c>
      <c r="BK446" s="31">
        <f t="shared" si="424"/>
        <v>11.2734394299551</v>
      </c>
      <c r="BL446" s="32">
        <f t="shared" si="418"/>
        <v>-13.3998799689929</v>
      </c>
      <c r="BM446" s="31">
        <f t="shared" si="419"/>
        <v>-77.1861383228994</v>
      </c>
      <c r="BO446">
        <f t="shared" si="420"/>
        <v>0</v>
      </c>
      <c r="BP446">
        <f t="shared" si="421"/>
        <v>0</v>
      </c>
    </row>
    <row r="447" spans="14:68">
      <c r="N447" s="7">
        <v>29</v>
      </c>
      <c r="O447" s="18">
        <f t="shared" si="422"/>
        <v>194984.459975805</v>
      </c>
      <c r="P447" s="86" t="str">
        <f t="shared" si="372"/>
        <v>54,5454545454545</v>
      </c>
      <c r="Q447" s="4" t="str">
        <f t="shared" si="373"/>
        <v>1+2494,79693333476i</v>
      </c>
      <c r="R447" s="4">
        <f t="shared" si="384"/>
        <v>2494.79713375187</v>
      </c>
      <c r="S447" s="4">
        <f t="shared" si="385"/>
        <v>1.57039549258948</v>
      </c>
      <c r="T447" s="4" t="str">
        <f t="shared" si="374"/>
        <v>1+19,2099363866777i</v>
      </c>
      <c r="U447" s="4">
        <f t="shared" si="386"/>
        <v>19.2359469738353</v>
      </c>
      <c r="V447" s="4">
        <f t="shared" si="387"/>
        <v>1.51878687937274</v>
      </c>
      <c r="W447" t="str">
        <f t="shared" si="375"/>
        <v>1-55,1305572321745i</v>
      </c>
      <c r="X447" s="4">
        <f t="shared" si="388"/>
        <v>55.1396258667945</v>
      </c>
      <c r="Y447" s="4">
        <f t="shared" si="389"/>
        <v>-1.55265955473427</v>
      </c>
      <c r="Z447" t="str">
        <f t="shared" si="376"/>
        <v>0,689641309126072+3,80663371365014i</v>
      </c>
      <c r="AA447" s="4">
        <f t="shared" si="390"/>
        <v>3.86859992311831</v>
      </c>
      <c r="AB447" s="4">
        <f t="shared" si="391"/>
        <v>1.39157199707196</v>
      </c>
      <c r="AC447" s="67" t="str">
        <f t="shared" si="392"/>
        <v>-5,93085682621695-0,870610915238036i</v>
      </c>
      <c r="AD447" s="68">
        <f t="shared" si="393"/>
        <v>15.5549379235931</v>
      </c>
      <c r="AE447" s="31">
        <f t="shared" si="394"/>
        <v>-171.648997551593</v>
      </c>
      <c r="AF447" s="32" t="str">
        <f t="shared" si="395"/>
        <v>432,040091031901</v>
      </c>
      <c r="AG447" s="32" t="str">
        <f t="shared" si="377"/>
        <v>1+2032,79750123573i</v>
      </c>
      <c r="AH447" s="32">
        <f t="shared" si="396"/>
        <v>2032.79774720217</v>
      </c>
      <c r="AI447" s="32">
        <f t="shared" si="397"/>
        <v>1.57030439391977</v>
      </c>
      <c r="AJ447" s="32" t="str">
        <f t="shared" si="378"/>
        <v>1+19,2099363866777i</v>
      </c>
      <c r="AK447" s="32">
        <f t="shared" si="398"/>
        <v>19.2359469738353</v>
      </c>
      <c r="AL447" s="32">
        <f t="shared" si="399"/>
        <v>1.51878687937274</v>
      </c>
      <c r="AM447" s="32" t="str">
        <f t="shared" si="379"/>
        <v>1-5,67121977746755i</v>
      </c>
      <c r="AN447" s="32">
        <f t="shared" si="400"/>
        <v>5.75870938356322</v>
      </c>
      <c r="AO447" s="32">
        <f t="shared" si="401"/>
        <v>-1.39626153077588</v>
      </c>
      <c r="AP447" s="30" t="str">
        <f t="shared" si="402"/>
        <v>2,88894186583922-23,3654497949876i</v>
      </c>
      <c r="AQ447" s="32">
        <f t="shared" si="403"/>
        <v>27.4373722311617</v>
      </c>
      <c r="AR447" s="31">
        <f t="shared" si="404"/>
        <v>-82.9516289644821</v>
      </c>
      <c r="AS447" t="str">
        <f t="shared" si="380"/>
        <v>-0,000201496259351621</v>
      </c>
      <c r="AT447" t="str">
        <f t="shared" si="381"/>
        <v>0,275285249112658i</v>
      </c>
      <c r="AU447">
        <f t="shared" si="405"/>
        <v>0.275285249112658</v>
      </c>
      <c r="AV447">
        <f t="shared" si="406"/>
        <v>1.5707963267949</v>
      </c>
      <c r="AW447" t="str">
        <f t="shared" si="382"/>
        <v>1+14,094099831397i</v>
      </c>
      <c r="AX447">
        <f t="shared" si="407"/>
        <v>14.1295311336712</v>
      </c>
      <c r="AY447">
        <f t="shared" si="408"/>
        <v>1.49996335302983</v>
      </c>
      <c r="AZ447" t="str">
        <f t="shared" si="383"/>
        <v>1+673,817921726575i</v>
      </c>
      <c r="BA447">
        <f t="shared" si="409"/>
        <v>673.818663766388</v>
      </c>
      <c r="BB447">
        <f t="shared" si="410"/>
        <v>1.56931224744112</v>
      </c>
      <c r="BC447" s="30" t="str">
        <f t="shared" si="411"/>
        <v>-0,0024187484954703+0,0348220371985565i</v>
      </c>
      <c r="BD447" s="32">
        <f t="shared" si="412"/>
        <v>-29.1420133442362</v>
      </c>
      <c r="BE447" s="31">
        <f t="shared" si="413"/>
        <v>93.9733989636653</v>
      </c>
      <c r="BF447" s="30" t="str">
        <f t="shared" si="414"/>
        <v>0,0446616967011502-0,204418728180467i</v>
      </c>
      <c r="BG447" s="68">
        <f t="shared" si="415"/>
        <v>-13.5870754206431</v>
      </c>
      <c r="BH447" s="31">
        <f t="shared" si="416"/>
        <v>-77.6755985879275</v>
      </c>
      <c r="BI447" s="30" t="str">
        <f t="shared" si="423"/>
        <v>0,806644938130563+0,157113987654334i</v>
      </c>
      <c r="BJ447" s="68">
        <f t="shared" si="417"/>
        <v>-1.70464111307453</v>
      </c>
      <c r="BK447" s="31">
        <f t="shared" si="424"/>
        <v>11.0217699991832</v>
      </c>
      <c r="BL447" s="32">
        <f t="shared" si="418"/>
        <v>-13.5870754206431</v>
      </c>
      <c r="BM447" s="31">
        <f t="shared" si="419"/>
        <v>-77.6755985879275</v>
      </c>
      <c r="BO447">
        <f t="shared" si="420"/>
        <v>0</v>
      </c>
      <c r="BP447">
        <f t="shared" si="421"/>
        <v>0</v>
      </c>
    </row>
    <row r="448" spans="14:68">
      <c r="N448" s="7">
        <v>30</v>
      </c>
      <c r="O448" s="18">
        <f t="shared" si="422"/>
        <v>199526.231496888</v>
      </c>
      <c r="P448" s="86" t="str">
        <f t="shared" si="372"/>
        <v>54,5454545454545</v>
      </c>
      <c r="Q448" s="4" t="str">
        <f t="shared" si="373"/>
        <v>1+2552,90821904498i</v>
      </c>
      <c r="R448" s="4">
        <f t="shared" si="384"/>
        <v>2552.90841490004</v>
      </c>
      <c r="S448" s="4">
        <f t="shared" si="385"/>
        <v>1.57040461668899</v>
      </c>
      <c r="T448" s="4" t="str">
        <f t="shared" si="374"/>
        <v>1+19,6573932866464i</v>
      </c>
      <c r="U448" s="4">
        <f t="shared" si="386"/>
        <v>19.682812574068</v>
      </c>
      <c r="V448" s="4">
        <f t="shared" si="387"/>
        <v>1.51996869732376</v>
      </c>
      <c r="W448" t="str">
        <f t="shared" si="375"/>
        <v>1-56,4147128762173i</v>
      </c>
      <c r="X448" s="4">
        <f t="shared" si="388"/>
        <v>56.4235751163114</v>
      </c>
      <c r="Y448" s="4">
        <f t="shared" si="389"/>
        <v>-1.55307231060753</v>
      </c>
      <c r="Z448" t="str">
        <f t="shared" si="376"/>
        <v>0,675014554650205+3,89530160335785i</v>
      </c>
      <c r="AA448" s="4">
        <f t="shared" si="390"/>
        <v>3.95335543938461</v>
      </c>
      <c r="AB448" s="4">
        <f t="shared" si="391"/>
        <v>1.39921089142313</v>
      </c>
      <c r="AC448" s="67" t="str">
        <f t="shared" si="392"/>
        <v>-5,94434248565883-0,830860000251789i</v>
      </c>
      <c r="AD448" s="68">
        <f t="shared" si="393"/>
        <v>15.5661045023086</v>
      </c>
      <c r="AE448" s="31">
        <f t="shared" si="394"/>
        <v>-172.043132719215</v>
      </c>
      <c r="AF448" s="32" t="str">
        <f t="shared" si="395"/>
        <v>432,040091031901</v>
      </c>
      <c r="AG448" s="32" t="str">
        <f t="shared" si="377"/>
        <v>1+2080,14743774035i</v>
      </c>
      <c r="AH448" s="32">
        <f t="shared" si="396"/>
        <v>2080.14767810791</v>
      </c>
      <c r="AI448" s="32">
        <f t="shared" si="397"/>
        <v>1.57031559167737</v>
      </c>
      <c r="AJ448" s="32" t="str">
        <f t="shared" si="378"/>
        <v>1+19,6573932866464i</v>
      </c>
      <c r="AK448" s="32">
        <f t="shared" si="398"/>
        <v>19.682812574068</v>
      </c>
      <c r="AL448" s="32">
        <f t="shared" si="399"/>
        <v>1.51996869732376</v>
      </c>
      <c r="AM448" s="32" t="str">
        <f t="shared" si="379"/>
        <v>1-5,80331945596657i</v>
      </c>
      <c r="AN448" s="32">
        <f t="shared" si="400"/>
        <v>5.88884680629409</v>
      </c>
      <c r="AO448" s="32">
        <f t="shared" si="401"/>
        <v>-1.40015688933907</v>
      </c>
      <c r="AP448" s="30" t="str">
        <f t="shared" si="402"/>
        <v>2,88893719165309-23,8999780403796i</v>
      </c>
      <c r="AQ448" s="32">
        <f t="shared" si="403"/>
        <v>27.6309458835414</v>
      </c>
      <c r="AR448" s="31">
        <f t="shared" si="404"/>
        <v>-83.1077449733472</v>
      </c>
      <c r="AS448" t="str">
        <f t="shared" si="380"/>
        <v>-0,000201496259351621</v>
      </c>
      <c r="AT448" t="str">
        <f t="shared" si="381"/>
        <v>0,281697466295244i</v>
      </c>
      <c r="AU448">
        <f t="shared" si="405"/>
        <v>0.281697466295244</v>
      </c>
      <c r="AV448">
        <f t="shared" si="406"/>
        <v>1.5707963267949</v>
      </c>
      <c r="AW448" t="str">
        <f t="shared" si="382"/>
        <v>1+14,4223935899739i</v>
      </c>
      <c r="AX448">
        <f t="shared" si="407"/>
        <v>14.4570203314556</v>
      </c>
      <c r="AY448">
        <f t="shared" si="408"/>
        <v>1.50157050250424</v>
      </c>
      <c r="AZ448" t="str">
        <f t="shared" si="383"/>
        <v>1+689,513157375987i</v>
      </c>
      <c r="BA448">
        <f t="shared" si="409"/>
        <v>689.51388252493</v>
      </c>
      <c r="BB448">
        <f t="shared" si="410"/>
        <v>1.56934602916362</v>
      </c>
      <c r="BC448" s="30" t="str">
        <f t="shared" si="411"/>
        <v>-0,00231040773604581+0,034036902841825i</v>
      </c>
      <c r="BD448" s="32">
        <f t="shared" si="412"/>
        <v>-29.3410345963378</v>
      </c>
      <c r="BE448" s="31">
        <f t="shared" si="413"/>
        <v>93.8832516318587</v>
      </c>
      <c r="BF448" s="30" t="str">
        <f t="shared" si="414"/>
        <v>0,0420137559683008-0,200407382270749i</v>
      </c>
      <c r="BG448" s="68">
        <f t="shared" si="415"/>
        <v>-13.7749300940293</v>
      </c>
      <c r="BH448" s="31">
        <f t="shared" si="416"/>
        <v>-78.1598810873563</v>
      </c>
      <c r="BI448" s="30" t="str">
        <f t="shared" si="423"/>
        <v>0,806806607645606+0,153549168664249i</v>
      </c>
      <c r="BJ448" s="68">
        <f t="shared" si="417"/>
        <v>-1.71008871279641</v>
      </c>
      <c r="BK448" s="31">
        <f t="shared" si="424"/>
        <v>10.7755066585115</v>
      </c>
      <c r="BL448" s="32">
        <f t="shared" si="418"/>
        <v>-13.7749300940293</v>
      </c>
      <c r="BM448" s="31">
        <f t="shared" si="419"/>
        <v>-78.1598810873563</v>
      </c>
      <c r="BO448">
        <f t="shared" si="420"/>
        <v>0</v>
      </c>
      <c r="BP448">
        <f t="shared" si="421"/>
        <v>0</v>
      </c>
    </row>
    <row r="449" spans="14:68">
      <c r="N449" s="7">
        <v>31</v>
      </c>
      <c r="O449" s="18">
        <f t="shared" si="422"/>
        <v>204173.794466953</v>
      </c>
      <c r="P449" s="86" t="str">
        <f t="shared" si="372"/>
        <v>54,5454545454545</v>
      </c>
      <c r="Q449" s="4" t="str">
        <f t="shared" si="373"/>
        <v>1+2612,37309048466i</v>
      </c>
      <c r="R449" s="4">
        <f t="shared" si="384"/>
        <v>2612.37328188151</v>
      </c>
      <c r="S449" s="4">
        <f t="shared" si="385"/>
        <v>1.5704135330987</v>
      </c>
      <c r="T449" s="4" t="str">
        <f t="shared" si="374"/>
        <v>1+20,1152727967319i</v>
      </c>
      <c r="U449" s="4">
        <f t="shared" si="386"/>
        <v>20.1401141925001</v>
      </c>
      <c r="V449" s="4">
        <f t="shared" si="387"/>
        <v>1.52112375114282</v>
      </c>
      <c r="W449" t="str">
        <f t="shared" si="375"/>
        <v>1-57,7287803477638i</v>
      </c>
      <c r="X449" s="4">
        <f t="shared" si="388"/>
        <v>57.7374408892563</v>
      </c>
      <c r="Y449" s="4">
        <f t="shared" si="389"/>
        <v>-1.55347567684632</v>
      </c>
      <c r="Z449" t="str">
        <f t="shared" si="376"/>
        <v>0,659698462473196+3,98603483353607i</v>
      </c>
      <c r="AA449" s="4">
        <f t="shared" si="390"/>
        <v>4.04025689227213</v>
      </c>
      <c r="AB449" s="4">
        <f t="shared" si="391"/>
        <v>1.40678063081032</v>
      </c>
      <c r="AC449" s="67" t="str">
        <f t="shared" si="392"/>
        <v>-5,95712226229816-0,791221537787598i</v>
      </c>
      <c r="AD449" s="68">
        <f t="shared" si="393"/>
        <v>15.5766762266872</v>
      </c>
      <c r="AE449" s="31">
        <f t="shared" si="394"/>
        <v>-172.434289184898</v>
      </c>
      <c r="AF449" s="32" t="str">
        <f t="shared" si="395"/>
        <v>432,040091031901</v>
      </c>
      <c r="AG449" s="32" t="str">
        <f t="shared" si="377"/>
        <v>1+2128,60029595046i</v>
      </c>
      <c r="AH449" s="32">
        <f t="shared" si="396"/>
        <v>2128.60053084659</v>
      </c>
      <c r="AI449" s="32">
        <f t="shared" si="397"/>
        <v>1.570326534543</v>
      </c>
      <c r="AJ449" s="32" t="str">
        <f t="shared" si="378"/>
        <v>1+20,1152727967319i</v>
      </c>
      <c r="AK449" s="32">
        <f t="shared" si="398"/>
        <v>20.1401141925001</v>
      </c>
      <c r="AL449" s="32">
        <f t="shared" si="399"/>
        <v>1.52112375114282</v>
      </c>
      <c r="AM449" s="32" t="str">
        <f t="shared" si="379"/>
        <v>1-5,93849613125714i</v>
      </c>
      <c r="AN449" s="32">
        <f t="shared" si="400"/>
        <v>6.02210397626577</v>
      </c>
      <c r="AO449" s="32">
        <f t="shared" si="401"/>
        <v>-1.40396863843538</v>
      </c>
      <c r="AP449" s="30" t="str">
        <f t="shared" si="402"/>
        <v>2,88893272783988-24,4471783702797i</v>
      </c>
      <c r="AQ449" s="32">
        <f t="shared" si="403"/>
        <v>27.8248012218451</v>
      </c>
      <c r="AR449" s="31">
        <f t="shared" si="404"/>
        <v>-83.2605893802026</v>
      </c>
      <c r="AS449" t="str">
        <f t="shared" si="380"/>
        <v>-0,000201496259351621</v>
      </c>
      <c r="AT449" t="str">
        <f t="shared" si="381"/>
        <v>0,288259043203168i</v>
      </c>
      <c r="AU449">
        <f t="shared" si="405"/>
        <v>0.288259043203168</v>
      </c>
      <c r="AV449">
        <f t="shared" si="406"/>
        <v>1.5707963267949</v>
      </c>
      <c r="AW449" t="str">
        <f t="shared" si="382"/>
        <v>1+14,7583342925352i</v>
      </c>
      <c r="AX449">
        <f t="shared" si="407"/>
        <v>14.7921746572375</v>
      </c>
      <c r="AY449">
        <f t="shared" si="408"/>
        <v>1.50314141497324</v>
      </c>
      <c r="AZ449" t="str">
        <f t="shared" si="383"/>
        <v>1+705,573982028222i</v>
      </c>
      <c r="BA449">
        <f t="shared" si="409"/>
        <v>705.574690670776</v>
      </c>
      <c r="BB449">
        <f t="shared" si="410"/>
        <v>1.56937904192342</v>
      </c>
      <c r="BC449" s="30" t="str">
        <f t="shared" si="411"/>
        <v>-0,00220689749385109+0,0332691420236388i</v>
      </c>
      <c r="BD449" s="32">
        <f t="shared" si="412"/>
        <v>-29.5400996932174</v>
      </c>
      <c r="BE449" s="31">
        <f t="shared" si="413"/>
        <v>93.7951364692072</v>
      </c>
      <c r="BF449" s="30" t="str">
        <f t="shared" si="414"/>
        <v>0,0394700199040478-0,196442201767754i</v>
      </c>
      <c r="BG449" s="68">
        <f t="shared" si="415"/>
        <v>-13.9634234665302</v>
      </c>
      <c r="BH449" s="31">
        <f t="shared" si="416"/>
        <v>-78.6391527156908</v>
      </c>
      <c r="BI449" s="30" t="str">
        <f t="shared" si="423"/>
        <v>0,806961070881092+0,150064729896344i</v>
      </c>
      <c r="BJ449" s="68">
        <f t="shared" si="417"/>
        <v>-1.71529847137237</v>
      </c>
      <c r="BK449" s="31">
        <f t="shared" si="424"/>
        <v>10.5345470890047</v>
      </c>
      <c r="BL449" s="32">
        <f t="shared" si="418"/>
        <v>-13.9634234665302</v>
      </c>
      <c r="BM449" s="31">
        <f t="shared" si="419"/>
        <v>-78.6391527156908</v>
      </c>
      <c r="BO449">
        <f t="shared" si="420"/>
        <v>0</v>
      </c>
      <c r="BP449">
        <f t="shared" si="421"/>
        <v>0</v>
      </c>
    </row>
    <row r="450" spans="14:68">
      <c r="N450" s="7">
        <v>32</v>
      </c>
      <c r="O450" s="18">
        <f t="shared" si="422"/>
        <v>208929.613085404</v>
      </c>
      <c r="P450" s="86" t="str">
        <f t="shared" si="372"/>
        <v>54,5454545454545</v>
      </c>
      <c r="Q450" s="4" t="str">
        <f t="shared" si="373"/>
        <v>1+2673,22307671578i</v>
      </c>
      <c r="R450" s="4">
        <f t="shared" si="384"/>
        <v>2673.22326375591</v>
      </c>
      <c r="S450" s="4">
        <f t="shared" si="385"/>
        <v>1.5704222465462</v>
      </c>
      <c r="T450" s="4" t="str">
        <f t="shared" si="374"/>
        <v>1+20,5838176907116i</v>
      </c>
      <c r="U450" s="4">
        <f t="shared" si="386"/>
        <v>20.6080943011345</v>
      </c>
      <c r="V450" s="4">
        <f t="shared" si="387"/>
        <v>1.52225264091962</v>
      </c>
      <c r="W450" t="str">
        <f t="shared" si="375"/>
        <v>1-59,0734563827819i</v>
      </c>
      <c r="X450" s="4">
        <f t="shared" si="388"/>
        <v>59.0819198148506</v>
      </c>
      <c r="Y450" s="4">
        <f t="shared" si="389"/>
        <v>-1.55386986679543</v>
      </c>
      <c r="Z450" t="str">
        <f t="shared" si="376"/>
        <v>0,643660545110065+4,07888151214446i</v>
      </c>
      <c r="AA450" s="4">
        <f t="shared" si="390"/>
        <v>4.12935506919001</v>
      </c>
      <c r="AB450" s="4">
        <f t="shared" si="391"/>
        <v>1.41428376371701</v>
      </c>
      <c r="AC450" s="67" t="str">
        <f t="shared" si="392"/>
        <v>-5,9692122329685-0,751695836037212i</v>
      </c>
      <c r="AD450" s="68">
        <f t="shared" si="393"/>
        <v>15.5866707437803</v>
      </c>
      <c r="AE450" s="31">
        <f t="shared" si="394"/>
        <v>-172.822591078009</v>
      </c>
      <c r="AF450" s="32" t="str">
        <f t="shared" si="395"/>
        <v>432,040091031901</v>
      </c>
      <c r="AG450" s="32" t="str">
        <f t="shared" si="377"/>
        <v>1+2178,18176621286i</v>
      </c>
      <c r="AH450" s="32">
        <f t="shared" si="396"/>
        <v>2178.1819957621</v>
      </c>
      <c r="AI450" s="32">
        <f t="shared" si="397"/>
        <v>1.5703372283187</v>
      </c>
      <c r="AJ450" s="32" t="str">
        <f t="shared" si="378"/>
        <v>1+20,5838176907116i</v>
      </c>
      <c r="AK450" s="32">
        <f t="shared" si="398"/>
        <v>20.6080943011345</v>
      </c>
      <c r="AL450" s="32">
        <f t="shared" si="399"/>
        <v>1.52225264091962</v>
      </c>
      <c r="AM450" s="32" t="str">
        <f t="shared" si="379"/>
        <v>1-6,07682147580183i</v>
      </c>
      <c r="AN450" s="32">
        <f t="shared" si="400"/>
        <v>6.1585517168216</v>
      </c>
      <c r="AO450" s="32">
        <f t="shared" si="401"/>
        <v>-1.40769835582194</v>
      </c>
      <c r="AP450" s="30" t="str">
        <f t="shared" si="402"/>
        <v>2,88892846493128-25,0073409175597i</v>
      </c>
      <c r="AQ450" s="32">
        <f t="shared" si="403"/>
        <v>28.0189262144202</v>
      </c>
      <c r="AR450" s="31">
        <f t="shared" si="404"/>
        <v>-83.4102185336979</v>
      </c>
      <c r="AS450" t="str">
        <f t="shared" si="380"/>
        <v>-0,000201496259351621</v>
      </c>
      <c r="AT450" t="str">
        <f t="shared" si="381"/>
        <v>0,294973458871357i</v>
      </c>
      <c r="AU450">
        <f t="shared" si="405"/>
        <v>0.294973458871357</v>
      </c>
      <c r="AV450">
        <f t="shared" si="406"/>
        <v>1.5707963267949</v>
      </c>
      <c r="AW450" t="str">
        <f t="shared" si="382"/>
        <v>1+15,1021000592881i</v>
      </c>
      <c r="AX450">
        <f t="shared" si="407"/>
        <v>15.1351718259407</v>
      </c>
      <c r="AY450">
        <f t="shared" si="408"/>
        <v>1.50467689232484</v>
      </c>
      <c r="AZ450" t="str">
        <f t="shared" si="383"/>
        <v>1+722,008911345111i</v>
      </c>
      <c r="BA450">
        <f t="shared" si="409"/>
        <v>722.009603857007</v>
      </c>
      <c r="BB450">
        <f t="shared" si="410"/>
        <v>1.56941130322406</v>
      </c>
      <c r="BC450" s="30" t="str">
        <f t="shared" si="411"/>
        <v>-0,00210800434697004+0,0325183921990731i</v>
      </c>
      <c r="BD450" s="32">
        <f t="shared" si="412"/>
        <v>-29.7392066795914</v>
      </c>
      <c r="BE450" s="31">
        <f t="shared" si="413"/>
        <v>93.7090085337905</v>
      </c>
      <c r="BF450" s="30" t="str">
        <f t="shared" si="414"/>
        <v>0,0370270653457525-0,192524606421209i</v>
      </c>
      <c r="BG450" s="68">
        <f t="shared" si="415"/>
        <v>-14.1525359358111</v>
      </c>
      <c r="BH450" s="31">
        <f t="shared" si="416"/>
        <v>-79.1135825442184</v>
      </c>
      <c r="BI450" s="30" t="str">
        <f t="shared" si="423"/>
        <v>0,807108646050974+0,146658892218079i</v>
      </c>
      <c r="BJ450" s="68">
        <f t="shared" si="417"/>
        <v>-1.72028046517119</v>
      </c>
      <c r="BK450" s="31">
        <f t="shared" si="424"/>
        <v>10.2987900000927</v>
      </c>
      <c r="BL450" s="32">
        <f t="shared" si="418"/>
        <v>-14.1525359358111</v>
      </c>
      <c r="BM450" s="31">
        <f t="shared" si="419"/>
        <v>-79.1135825442184</v>
      </c>
      <c r="BO450">
        <f t="shared" si="420"/>
        <v>0</v>
      </c>
      <c r="BP450">
        <f t="shared" si="421"/>
        <v>0</v>
      </c>
    </row>
    <row r="451" spans="14:68">
      <c r="N451" s="7">
        <v>33</v>
      </c>
      <c r="O451" s="18">
        <f t="shared" si="422"/>
        <v>213796.208950223</v>
      </c>
      <c r="P451" s="86" t="str">
        <f t="shared" si="372"/>
        <v>54,5454545454545</v>
      </c>
      <c r="Q451" s="4" t="str">
        <f t="shared" si="373"/>
        <v>1+2735,49044120645i</v>
      </c>
      <c r="R451" s="4">
        <f t="shared" si="384"/>
        <v>2735.49062398902</v>
      </c>
      <c r="S451" s="4">
        <f t="shared" si="385"/>
        <v>1.57043076165148</v>
      </c>
      <c r="T451" s="4" t="str">
        <f t="shared" si="374"/>
        <v>1+21,0632763972897i</v>
      </c>
      <c r="U451" s="4">
        <f t="shared" si="386"/>
        <v>21.0870010335425</v>
      </c>
      <c r="V451" s="4">
        <f t="shared" si="387"/>
        <v>1.52335595369073</v>
      </c>
      <c r="W451" t="str">
        <f t="shared" si="375"/>
        <v>1-60,4494539463034i</v>
      </c>
      <c r="X451" s="4">
        <f t="shared" si="388"/>
        <v>60.4577247538001</v>
      </c>
      <c r="Y451" s="4">
        <f t="shared" si="389"/>
        <v>-1.5542550889693</v>
      </c>
      <c r="Z451" t="str">
        <f t="shared" si="376"/>
        <v>0,626866783987854+4,17389086772094i</v>
      </c>
      <c r="AA451" s="4">
        <f t="shared" si="390"/>
        <v>4.22070218571644</v>
      </c>
      <c r="AB451" s="4">
        <f t="shared" si="391"/>
        <v>1.42172288144916</v>
      </c>
      <c r="AC451" s="67" t="str">
        <f t="shared" si="392"/>
        <v>-5,98062790128923-0,712282274051595i</v>
      </c>
      <c r="AD451" s="68">
        <f t="shared" si="393"/>
        <v>15.5961048757844</v>
      </c>
      <c r="AE451" s="31">
        <f t="shared" si="394"/>
        <v>-173.208165446426</v>
      </c>
      <c r="AF451" s="32" t="str">
        <f t="shared" si="395"/>
        <v>432,040091031901</v>
      </c>
      <c r="AG451" s="32" t="str">
        <f t="shared" si="377"/>
        <v>1+2228,91813727933i</v>
      </c>
      <c r="AH451" s="32">
        <f t="shared" si="396"/>
        <v>2228.91836160339</v>
      </c>
      <c r="AI451" s="32">
        <f t="shared" si="397"/>
        <v>1.57034767867446</v>
      </c>
      <c r="AJ451" s="32" t="str">
        <f t="shared" si="378"/>
        <v>1+21,0632763972897i</v>
      </c>
      <c r="AK451" s="32">
        <f t="shared" si="398"/>
        <v>21.0870010335425</v>
      </c>
      <c r="AL451" s="32">
        <f t="shared" si="399"/>
        <v>1.52335595369073</v>
      </c>
      <c r="AM451" s="32" t="str">
        <f t="shared" si="379"/>
        <v>1-6,21836883152919i</v>
      </c>
      <c r="AN451" s="32">
        <f t="shared" si="400"/>
        <v>6.29826253223329</v>
      </c>
      <c r="AO451" s="32">
        <f t="shared" si="401"/>
        <v>-1.41134760376813</v>
      </c>
      <c r="AP451" s="30" t="str">
        <f t="shared" si="402"/>
        <v>2,88892439388508-25,5807626878291i</v>
      </c>
      <c r="AQ451" s="32">
        <f t="shared" si="403"/>
        <v>28.2133093164957</v>
      </c>
      <c r="AR451" s="31">
        <f t="shared" si="404"/>
        <v>-83.5566886354226</v>
      </c>
      <c r="AS451" t="str">
        <f t="shared" si="380"/>
        <v>-0,000201496259351621</v>
      </c>
      <c r="AT451" t="str">
        <f t="shared" si="381"/>
        <v>0,301844273371874i</v>
      </c>
      <c r="AU451">
        <f t="shared" si="405"/>
        <v>0.301844273371874</v>
      </c>
      <c r="AV451">
        <f t="shared" si="406"/>
        <v>1.5707963267949</v>
      </c>
      <c r="AW451" t="str">
        <f t="shared" si="382"/>
        <v>1+15,4538731593922i</v>
      </c>
      <c r="AX451">
        <f t="shared" si="407"/>
        <v>15.4861937100949</v>
      </c>
      <c r="AY451">
        <f t="shared" si="408"/>
        <v>1.50617771971171</v>
      </c>
      <c r="AZ451" t="str">
        <f t="shared" si="383"/>
        <v>1+738,826659343706i</v>
      </c>
      <c r="BA451">
        <f t="shared" si="409"/>
        <v>738.827336092121</v>
      </c>
      <c r="BB451">
        <f t="shared" si="410"/>
        <v>1.56944283017062</v>
      </c>
      <c r="BC451" s="30" t="str">
        <f t="shared" si="411"/>
        <v>-0,00201352413167956+0,0317842969142232i</v>
      </c>
      <c r="BD451" s="32">
        <f t="shared" si="412"/>
        <v>-29.9383536866</v>
      </c>
      <c r="BE451" s="31">
        <f t="shared" si="413"/>
        <v>93.6248238197242</v>
      </c>
      <c r="BF451" s="30" t="str">
        <f t="shared" si="414"/>
        <v>0,0346815298870359-0,188655855400694i</v>
      </c>
      <c r="BG451" s="68">
        <f t="shared" si="415"/>
        <v>-14.3422488108156</v>
      </c>
      <c r="BH451" s="31">
        <f t="shared" si="416"/>
        <v>-79.5833416267014</v>
      </c>
      <c r="BI451" s="30" t="str">
        <f t="shared" si="423"/>
        <v>0,807249637580557+0,143329913676698i</v>
      </c>
      <c r="BJ451" s="68">
        <f t="shared" si="417"/>
        <v>-1.72504437010437</v>
      </c>
      <c r="BK451" s="31">
        <f t="shared" si="424"/>
        <v>10.0681351843016</v>
      </c>
      <c r="BL451" s="32">
        <f t="shared" si="418"/>
        <v>-14.3422488108156</v>
      </c>
      <c r="BM451" s="31">
        <f t="shared" si="419"/>
        <v>-79.5833416267014</v>
      </c>
      <c r="BO451">
        <f t="shared" si="420"/>
        <v>0</v>
      </c>
      <c r="BP451">
        <f t="shared" si="421"/>
        <v>0</v>
      </c>
    </row>
    <row r="452" spans="14:68">
      <c r="N452" s="7">
        <v>34</v>
      </c>
      <c r="O452" s="18">
        <f t="shared" si="422"/>
        <v>218776.162394955</v>
      </c>
      <c r="P452" s="86" t="str">
        <f t="shared" si="372"/>
        <v>54,5454545454545</v>
      </c>
      <c r="Q452" s="4" t="str">
        <f t="shared" si="373"/>
        <v>1+2799,20819893755i</v>
      </c>
      <c r="R452" s="4">
        <f t="shared" si="384"/>
        <v>2799.20837755948</v>
      </c>
      <c r="S452" s="4">
        <f t="shared" si="385"/>
        <v>1.57043908292935</v>
      </c>
      <c r="T452" s="4" t="str">
        <f t="shared" si="374"/>
        <v>1+21,5539031318192i</v>
      </c>
      <c r="U452" s="4">
        <f t="shared" si="386"/>
        <v>21.5770883164491</v>
      </c>
      <c r="V452" s="4">
        <f t="shared" si="387"/>
        <v>1.5244342636966</v>
      </c>
      <c r="W452" t="str">
        <f t="shared" si="375"/>
        <v>1-61,8575026104505i</v>
      </c>
      <c r="X452" s="4">
        <f t="shared" si="388"/>
        <v>61.8655851762665</v>
      </c>
      <c r="Y452" s="4">
        <f t="shared" si="389"/>
        <v>-1.55463154716022</v>
      </c>
      <c r="Z452" t="str">
        <f t="shared" si="376"/>
        <v>0,609281557287639+4,27111327548348i</v>
      </c>
      <c r="AA452" s="4">
        <f t="shared" si="390"/>
        <v>4.31435193604579</v>
      </c>
      <c r="AB452" s="4">
        <f t="shared" si="391"/>
        <v>1.42910061481341</v>
      </c>
      <c r="AC452" s="67" t="str">
        <f t="shared" si="392"/>
        <v>-5,99138416940666-0,672979352010134i</v>
      </c>
      <c r="AD452" s="68">
        <f t="shared" si="393"/>
        <v>15.6049946258066</v>
      </c>
      <c r="AE452" s="31">
        <f t="shared" si="394"/>
        <v>-173.591142057832</v>
      </c>
      <c r="AF452" s="32" t="str">
        <f t="shared" si="395"/>
        <v>432,040091031901</v>
      </c>
      <c r="AG452" s="32" t="str">
        <f t="shared" si="377"/>
        <v>1+2280,83631024541i</v>
      </c>
      <c r="AH452" s="32">
        <f t="shared" si="396"/>
        <v>2280.83652946324</v>
      </c>
      <c r="AI452" s="32">
        <f t="shared" si="397"/>
        <v>1.57035789115117</v>
      </c>
      <c r="AJ452" s="32" t="str">
        <f t="shared" si="378"/>
        <v>1+21,5539031318192i</v>
      </c>
      <c r="AK452" s="32">
        <f t="shared" si="398"/>
        <v>21.5770883164491</v>
      </c>
      <c r="AL452" s="32">
        <f t="shared" si="399"/>
        <v>1.5244342636966</v>
      </c>
      <c r="AM452" s="32" t="str">
        <f t="shared" si="379"/>
        <v>1-6,36321324872089i</v>
      </c>
      <c r="AN452" s="32">
        <f t="shared" si="400"/>
        <v>6.44131064680916</v>
      </c>
      <c r="AO452" s="32">
        <f t="shared" si="401"/>
        <v>-1.41491792817948</v>
      </c>
      <c r="AP452" s="30" t="str">
        <f t="shared" si="402"/>
        <v>2,88892050606609-26,1677477169127i</v>
      </c>
      <c r="AQ452" s="32">
        <f t="shared" si="403"/>
        <v>28.407939452797</v>
      </c>
      <c r="AR452" s="31">
        <f t="shared" si="404"/>
        <v>-83.7000556751566</v>
      </c>
      <c r="AS452" t="str">
        <f t="shared" si="380"/>
        <v>-0,000201496259351621</v>
      </c>
      <c r="AT452" t="str">
        <f t="shared" si="381"/>
        <v>0,308875129701515i</v>
      </c>
      <c r="AU452">
        <f t="shared" si="405"/>
        <v>0.308875129701515</v>
      </c>
      <c r="AV452">
        <f t="shared" si="406"/>
        <v>1.5707963267949</v>
      </c>
      <c r="AW452" t="str">
        <f t="shared" si="382"/>
        <v>1+15,8138401076017i</v>
      </c>
      <c r="AX452">
        <f t="shared" si="407"/>
        <v>15.8454264363188</v>
      </c>
      <c r="AY452">
        <f t="shared" si="408"/>
        <v>1.50764466583246</v>
      </c>
      <c r="AZ452" t="str">
        <f t="shared" si="383"/>
        <v>1+756,036143016615i</v>
      </c>
      <c r="BA452">
        <f t="shared" si="409"/>
        <v>756.03680436037</v>
      </c>
      <c r="BB452">
        <f t="shared" si="410"/>
        <v>1.56947363947886</v>
      </c>
      <c r="BC452" s="30" t="str">
        <f t="shared" si="411"/>
        <v>-0,00192326155588527+0,0310665058079413i</v>
      </c>
      <c r="BD452" s="32">
        <f t="shared" si="412"/>
        <v>-30.1375389280554</v>
      </c>
      <c r="BE452" s="31">
        <f t="shared" si="413"/>
        <v>93.5425392415642</v>
      </c>
      <c r="BF452" s="30" t="str">
        <f t="shared" si="414"/>
        <v>0,0324301157874068-0,184837055780854i</v>
      </c>
      <c r="BG452" s="68">
        <f t="shared" si="415"/>
        <v>-14.5325443022489</v>
      </c>
      <c r="BH452" s="31">
        <f t="shared" si="416"/>
        <v>-80.0486028162681</v>
      </c>
      <c r="BI452" s="30" t="str">
        <f t="shared" si="423"/>
        <v>0,807384336680885+0,140076088868426i</v>
      </c>
      <c r="BJ452" s="68">
        <f t="shared" si="417"/>
        <v>-1.72959947525844</v>
      </c>
      <c r="BK452" s="31">
        <f t="shared" si="424"/>
        <v>9.84248356640755</v>
      </c>
      <c r="BL452" s="32">
        <f t="shared" si="418"/>
        <v>-14.5325443022489</v>
      </c>
      <c r="BM452" s="31">
        <f t="shared" si="419"/>
        <v>-80.0486028162681</v>
      </c>
      <c r="BO452">
        <f t="shared" si="420"/>
        <v>0</v>
      </c>
      <c r="BP452">
        <f t="shared" si="421"/>
        <v>0</v>
      </c>
    </row>
    <row r="453" spans="14:68">
      <c r="N453" s="7">
        <v>35</v>
      </c>
      <c r="O453" s="18">
        <f t="shared" si="422"/>
        <v>223872.113856834</v>
      </c>
      <c r="P453" s="86" t="str">
        <f t="shared" si="372"/>
        <v>54,5454545454545</v>
      </c>
      <c r="Q453" s="4" t="str">
        <f t="shared" si="373"/>
        <v>1+2864,41013390761i</v>
      </c>
      <c r="R453" s="4">
        <f t="shared" si="384"/>
        <v>2864.41030846361</v>
      </c>
      <c r="S453" s="4">
        <f t="shared" si="385"/>
        <v>1.57044721479186</v>
      </c>
      <c r="T453" s="4" t="str">
        <f t="shared" si="374"/>
        <v>1+22,0559580310887i</v>
      </c>
      <c r="U453" s="4">
        <f t="shared" si="386"/>
        <v>22.0786160043864</v>
      </c>
      <c r="V453" s="4">
        <f t="shared" si="387"/>
        <v>1.5254881326353</v>
      </c>
      <c r="W453" t="str">
        <f t="shared" si="375"/>
        <v>1-63,2983489412621i</v>
      </c>
      <c r="X453" s="4">
        <f t="shared" si="388"/>
        <v>63.3062475486407</v>
      </c>
      <c r="Y453" s="4">
        <f t="shared" si="389"/>
        <v>-1.55499944054427</v>
      </c>
      <c r="Z453" t="str">
        <f t="shared" si="376"/>
        <v>0,5908675643859+4,37060028403952i</v>
      </c>
      <c r="AA453" s="4">
        <f t="shared" si="390"/>
        <v>4.41035954560279</v>
      </c>
      <c r="AB453" s="4">
        <f t="shared" si="391"/>
        <v>1.43641963098397</v>
      </c>
      <c r="AC453" s="67" t="str">
        <f t="shared" si="392"/>
        <v>-6,00149531261589-0,633784740700309i</v>
      </c>
      <c r="AD453" s="68">
        <f t="shared" si="393"/>
        <v>15.6133551841652</v>
      </c>
      <c r="AE453" s="31">
        <f t="shared" si="394"/>
        <v>-173.971653211864</v>
      </c>
      <c r="AF453" s="32" t="str">
        <f t="shared" si="395"/>
        <v>432,040091031901</v>
      </c>
      <c r="AG453" s="32" t="str">
        <f t="shared" si="377"/>
        <v>1+2333,96381281361i</v>
      </c>
      <c r="AH453" s="32">
        <f t="shared" si="396"/>
        <v>2333.96402704143</v>
      </c>
      <c r="AI453" s="32">
        <f t="shared" si="397"/>
        <v>1.57036787116361</v>
      </c>
      <c r="AJ453" s="32" t="str">
        <f t="shared" si="378"/>
        <v>1+22,0559580310887i</v>
      </c>
      <c r="AK453" s="32">
        <f t="shared" si="398"/>
        <v>22.0786160043864</v>
      </c>
      <c r="AL453" s="32">
        <f t="shared" si="399"/>
        <v>1.5254881326353</v>
      </c>
      <c r="AM453" s="32" t="str">
        <f t="shared" si="379"/>
        <v>1-6,5114315258041i</v>
      </c>
      <c r="AN453" s="32">
        <f t="shared" si="400"/>
        <v>6.58777204487492</v>
      </c>
      <c r="AO453" s="32">
        <f t="shared" si="401"/>
        <v>-1.41841085780974</v>
      </c>
      <c r="AP453" s="30" t="str">
        <f t="shared" si="402"/>
        <v>2,88891679322771-26,7686072320533i</v>
      </c>
      <c r="AQ453" s="32">
        <f t="shared" si="403"/>
        <v>28.6028060005795</v>
      </c>
      <c r="AR453" s="31">
        <f t="shared" si="404"/>
        <v>-83.8403753713519</v>
      </c>
      <c r="AS453" t="str">
        <f t="shared" si="380"/>
        <v>-0,000201496259351621</v>
      </c>
      <c r="AT453" t="str">
        <f t="shared" si="381"/>
        <v>0,31606975571337i</v>
      </c>
      <c r="AU453">
        <f t="shared" si="405"/>
        <v>0.31606975571337</v>
      </c>
      <c r="AV453">
        <f t="shared" si="406"/>
        <v>1.5707963267949</v>
      </c>
      <c r="AW453" t="str">
        <f t="shared" si="382"/>
        <v>1+16,182191763157i</v>
      </c>
      <c r="AX453">
        <f t="shared" si="407"/>
        <v>16.2130604840538</v>
      </c>
      <c r="AY453">
        <f t="shared" si="408"/>
        <v>1.50907848321297</v>
      </c>
      <c r="AZ453" t="str">
        <f t="shared" si="383"/>
        <v>1+773,646487059869i</v>
      </c>
      <c r="BA453">
        <f t="shared" si="409"/>
        <v>773.647133349614</v>
      </c>
      <c r="BB453">
        <f t="shared" si="410"/>
        <v>1.56950374748405</v>
      </c>
      <c r="BC453" s="30" t="str">
        <f t="shared" si="411"/>
        <v>-0,00183702982736173+0,0303646746045803i</v>
      </c>
      <c r="BD453" s="32">
        <f t="shared" si="412"/>
        <v>-30.3367606968461</v>
      </c>
      <c r="BE453" s="31">
        <f t="shared" si="413"/>
        <v>93.4621126186956</v>
      </c>
      <c r="BF453" s="30" t="str">
        <f t="shared" si="414"/>
        <v>0,0302695933187602-0,181069170835702i</v>
      </c>
      <c r="BG453" s="68">
        <f t="shared" si="415"/>
        <v>-14.723405512681</v>
      </c>
      <c r="BH453" s="31">
        <f t="shared" si="416"/>
        <v>-80.5095405931687</v>
      </c>
      <c r="BI453" s="30" t="str">
        <f t="shared" si="423"/>
        <v>0,807513021901188+0,13689574830828i</v>
      </c>
      <c r="BJ453" s="68">
        <f t="shared" si="417"/>
        <v>-1.73395469626664</v>
      </c>
      <c r="BK453" s="31">
        <f t="shared" si="424"/>
        <v>9.62173724734374</v>
      </c>
      <c r="BL453" s="32">
        <f t="shared" si="418"/>
        <v>-14.723405512681</v>
      </c>
      <c r="BM453" s="31">
        <f t="shared" si="419"/>
        <v>-80.5095405931687</v>
      </c>
      <c r="BO453">
        <f t="shared" si="420"/>
        <v>0</v>
      </c>
      <c r="BP453">
        <f t="shared" si="421"/>
        <v>0</v>
      </c>
    </row>
    <row r="454" spans="14:68">
      <c r="N454" s="7">
        <v>36</v>
      </c>
      <c r="O454" s="18">
        <f t="shared" si="422"/>
        <v>229086.765276778</v>
      </c>
      <c r="P454" s="86" t="str">
        <f t="shared" si="372"/>
        <v>54,5454545454545</v>
      </c>
      <c r="Q454" s="4" t="str">
        <f t="shared" si="373"/>
        <v>1+2931,13081704566i</v>
      </c>
      <c r="R454" s="4">
        <f t="shared" si="384"/>
        <v>2931.13098762828</v>
      </c>
      <c r="S454" s="4">
        <f t="shared" si="385"/>
        <v>1.57045516155062</v>
      </c>
      <c r="T454" s="4" t="str">
        <f t="shared" si="374"/>
        <v>1+22,5697072912516i</v>
      </c>
      <c r="U454" s="4">
        <f t="shared" si="386"/>
        <v>22.5918500174903</v>
      </c>
      <c r="V454" s="4">
        <f t="shared" si="387"/>
        <v>1.526518109913</v>
      </c>
      <c r="W454" t="str">
        <f t="shared" si="375"/>
        <v>1-64,7727568945358i</v>
      </c>
      <c r="X454" s="4">
        <f t="shared" si="388"/>
        <v>64.7804757293325</v>
      </c>
      <c r="Y454" s="4">
        <f t="shared" si="389"/>
        <v>-1.5553589637848</v>
      </c>
      <c r="Z454" t="str">
        <f t="shared" si="376"/>
        <v>0,571585746734874+4,47240464271795i</v>
      </c>
      <c r="AA454" s="4">
        <f t="shared" si="390"/>
        <v>4.50878182595649</v>
      </c>
      <c r="AB454" s="4">
        <f t="shared" si="391"/>
        <v>1.44368263055179</v>
      </c>
      <c r="AC454" s="67" t="str">
        <f t="shared" si="392"/>
        <v>-6,0109749566408-0,594695330116945i</v>
      </c>
      <c r="AD454" s="68">
        <f t="shared" si="393"/>
        <v>15.6212009351079</v>
      </c>
      <c r="AE454" s="31">
        <f t="shared" si="394"/>
        <v>-174.349833562756</v>
      </c>
      <c r="AF454" s="32" t="str">
        <f t="shared" si="395"/>
        <v>432,040091031901</v>
      </c>
      <c r="AG454" s="32" t="str">
        <f t="shared" si="377"/>
        <v>1+2388,32881388905i</v>
      </c>
      <c r="AH454" s="32">
        <f t="shared" si="396"/>
        <v>2388.32902324045</v>
      </c>
      <c r="AI454" s="32">
        <f t="shared" si="397"/>
        <v>1.57037762400333</v>
      </c>
      <c r="AJ454" s="32" t="str">
        <f t="shared" si="378"/>
        <v>1+22,5697072912516i</v>
      </c>
      <c r="AK454" s="32">
        <f t="shared" si="398"/>
        <v>22.5918500174903</v>
      </c>
      <c r="AL454" s="32">
        <f t="shared" si="399"/>
        <v>1.526518109913</v>
      </c>
      <c r="AM454" s="32" t="str">
        <f t="shared" si="379"/>
        <v>1-6,66310225007136i</v>
      </c>
      <c r="AN454" s="32">
        <f t="shared" si="400"/>
        <v>6.73772451165125</v>
      </c>
      <c r="AO454" s="32">
        <f t="shared" si="401"/>
        <v>-1.42182790355586</v>
      </c>
      <c r="AP454" s="30" t="str">
        <f t="shared" si="402"/>
        <v>2,88891324749452-27,3836598169298i</v>
      </c>
      <c r="AQ454" s="32">
        <f t="shared" si="403"/>
        <v>28.7978987730895</v>
      </c>
      <c r="AR454" s="31">
        <f t="shared" si="404"/>
        <v>-83.9777031165547</v>
      </c>
      <c r="AS454" t="str">
        <f t="shared" si="380"/>
        <v>-0,000201496259351621</v>
      </c>
      <c r="AT454" t="str">
        <f t="shared" si="381"/>
        <v>0,323431966093382i</v>
      </c>
      <c r="AU454">
        <f t="shared" si="405"/>
        <v>0.323431966093382</v>
      </c>
      <c r="AV454">
        <f t="shared" si="406"/>
        <v>1.5707963267949</v>
      </c>
      <c r="AW454" t="str">
        <f t="shared" si="382"/>
        <v>1+16,559123430982i</v>
      </c>
      <c r="AX454">
        <f t="shared" si="407"/>
        <v>16.5892907866038</v>
      </c>
      <c r="AY454">
        <f t="shared" si="408"/>
        <v>1.51047990848739</v>
      </c>
      <c r="AZ454" t="str">
        <f t="shared" si="383"/>
        <v>1+791,667028710992i</v>
      </c>
      <c r="BA454">
        <f t="shared" si="409"/>
        <v>791.667660289399</v>
      </c>
      <c r="BB454">
        <f t="shared" si="410"/>
        <v>1.56953317014964</v>
      </c>
      <c r="BC454" s="30" t="str">
        <f t="shared" si="411"/>
        <v>-0,00175465029635117+0,0296784650985026i</v>
      </c>
      <c r="BD454" s="32">
        <f t="shared" si="412"/>
        <v>-30.5360173614928</v>
      </c>
      <c r="BE454" s="31">
        <f t="shared" si="413"/>
        <v>93.3835026597289</v>
      </c>
      <c r="BF454" s="30" t="str">
        <f t="shared" si="414"/>
        <v>0,0281968035881475-0,177353028121409i</v>
      </c>
      <c r="BG454" s="68">
        <f t="shared" si="415"/>
        <v>-14.9148164263849</v>
      </c>
      <c r="BH454" s="31">
        <f t="shared" si="416"/>
        <v>-80.9663309030271</v>
      </c>
      <c r="BI454" s="30" t="str">
        <f t="shared" si="423"/>
        <v>0,80763595966017+0,133787257801323i</v>
      </c>
      <c r="BJ454" s="68">
        <f t="shared" si="417"/>
        <v>-1.73811858840336</v>
      </c>
      <c r="BK454" s="31">
        <f t="shared" si="424"/>
        <v>9.40579954317414</v>
      </c>
      <c r="BL454" s="32">
        <f t="shared" si="418"/>
        <v>-14.9148164263849</v>
      </c>
      <c r="BM454" s="31">
        <f t="shared" si="419"/>
        <v>-80.9663309030271</v>
      </c>
      <c r="BO454">
        <f t="shared" si="420"/>
        <v>0</v>
      </c>
      <c r="BP454">
        <f t="shared" si="421"/>
        <v>0</v>
      </c>
    </row>
    <row r="455" spans="14:68">
      <c r="N455" s="7">
        <v>37</v>
      </c>
      <c r="O455" s="18">
        <f t="shared" si="422"/>
        <v>234422.881531993</v>
      </c>
      <c r="P455" s="86" t="str">
        <f t="shared" si="372"/>
        <v>54,5454545454545</v>
      </c>
      <c r="Q455" s="4" t="str">
        <f t="shared" si="373"/>
        <v>1+2999,40562454098i</v>
      </c>
      <c r="R455" s="4">
        <f t="shared" si="384"/>
        <v>2999.40579124067</v>
      </c>
      <c r="S455" s="4">
        <f t="shared" si="385"/>
        <v>1.57046292741911</v>
      </c>
      <c r="T455" s="4" t="str">
        <f t="shared" si="374"/>
        <v>1+23,0954233089656i</v>
      </c>
      <c r="U455" s="4">
        <f t="shared" si="386"/>
        <v>23.1170624825109</v>
      </c>
      <c r="V455" s="4">
        <f t="shared" si="387"/>
        <v>1.52752473289109</v>
      </c>
      <c r="W455" t="str">
        <f t="shared" si="375"/>
        <v>1-66,2815082208835i</v>
      </c>
      <c r="X455" s="4">
        <f t="shared" si="388"/>
        <v>66.2890513737755</v>
      </c>
      <c r="Y455" s="4">
        <f t="shared" si="389"/>
        <v>-1.55571030713382</v>
      </c>
      <c r="Z455" t="str">
        <f t="shared" si="376"/>
        <v>0,551395205014178+4,57658032953719i</v>
      </c>
      <c r="AA455" s="4">
        <f t="shared" si="390"/>
        <v>4.60967723217357</v>
      </c>
      <c r="AB455" s="4">
        <f t="shared" si="391"/>
        <v>1.45089234474927</v>
      </c>
      <c r="AC455" s="67" t="str">
        <f t="shared" si="392"/>
        <v>-6,01983605735485-0,555707277112168i</v>
      </c>
      <c r="AD455" s="68">
        <f t="shared" si="393"/>
        <v>15.62854546383</v>
      </c>
      <c r="AE455" s="31">
        <f t="shared" si="394"/>
        <v>-174.725819952109</v>
      </c>
      <c r="AF455" s="32" t="str">
        <f t="shared" si="395"/>
        <v>432,040091031901</v>
      </c>
      <c r="AG455" s="32" t="str">
        <f t="shared" si="377"/>
        <v>1+2443,96013851488i</v>
      </c>
      <c r="AH455" s="32">
        <f t="shared" si="396"/>
        <v>2443.96034310086</v>
      </c>
      <c r="AI455" s="32">
        <f t="shared" si="397"/>
        <v>1.57038715484138</v>
      </c>
      <c r="AJ455" s="32" t="str">
        <f t="shared" si="378"/>
        <v>1+23,0954233089656i</v>
      </c>
      <c r="AK455" s="32">
        <f t="shared" si="398"/>
        <v>23.1170624825109</v>
      </c>
      <c r="AL455" s="32">
        <f t="shared" si="399"/>
        <v>1.52752473289109</v>
      </c>
      <c r="AM455" s="32" t="str">
        <f t="shared" si="379"/>
        <v>1-6,81830583934815i</v>
      </c>
      <c r="AN455" s="32">
        <f t="shared" si="400"/>
        <v>6.89124767505051</v>
      </c>
      <c r="AO455" s="32">
        <f t="shared" si="401"/>
        <v>-1.42517055783109</v>
      </c>
      <c r="AP455" s="30" t="str">
        <f t="shared" si="402"/>
        <v>2,88890986134554-28,0132315805728i</v>
      </c>
      <c r="AQ455" s="32">
        <f t="shared" si="403"/>
        <v>28.9932080034585</v>
      </c>
      <c r="AR455" s="31">
        <f t="shared" si="404"/>
        <v>-84.1120939274872</v>
      </c>
      <c r="AS455" t="str">
        <f t="shared" si="380"/>
        <v>-0,000201496259351621</v>
      </c>
      <c r="AT455" t="str">
        <f t="shared" si="381"/>
        <v>0,330965664382944i</v>
      </c>
      <c r="AU455">
        <f t="shared" si="405"/>
        <v>0.330965664382944</v>
      </c>
      <c r="AV455">
        <f t="shared" si="406"/>
        <v>1.5707963267949</v>
      </c>
      <c r="AW455" t="str">
        <f t="shared" si="382"/>
        <v>1+16,944834965236i</v>
      </c>
      <c r="AX455">
        <f t="shared" si="407"/>
        <v>16.9743168345322</v>
      </c>
      <c r="AY455">
        <f t="shared" si="408"/>
        <v>1.51184966267839</v>
      </c>
      <c r="AZ455" t="str">
        <f t="shared" si="383"/>
        <v>1+810,107322699685i</v>
      </c>
      <c r="BA455">
        <f t="shared" si="409"/>
        <v>810.107939901623</v>
      </c>
      <c r="BB455">
        <f t="shared" si="410"/>
        <v>1.56956192307571</v>
      </c>
      <c r="BC455" s="30" t="str">
        <f t="shared" si="411"/>
        <v>-0,00167595211207808+0,0290075451310612i</v>
      </c>
      <c r="BD455" s="32">
        <f t="shared" si="412"/>
        <v>-30.7353073628492</v>
      </c>
      <c r="BE455" s="31">
        <f t="shared" si="413"/>
        <v>93.3066689469263</v>
      </c>
      <c r="BF455" s="30" t="str">
        <f t="shared" si="414"/>
        <v>0,026208660875178-0,173689327330537i</v>
      </c>
      <c r="BG455" s="68">
        <f t="shared" si="415"/>
        <v>-15.1067618990193</v>
      </c>
      <c r="BH455" s="31">
        <f t="shared" si="416"/>
        <v>-81.4191510051831</v>
      </c>
      <c r="BI455" s="30" t="str">
        <f t="shared" si="423"/>
        <v>0,807753404756609+0,130749017816142i</v>
      </c>
      <c r="BJ455" s="68">
        <f t="shared" si="417"/>
        <v>-1.74209935939071</v>
      </c>
      <c r="BK455" s="31">
        <f t="shared" si="424"/>
        <v>9.19457501943911</v>
      </c>
      <c r="BL455" s="32">
        <f t="shared" si="418"/>
        <v>-15.1067618990193</v>
      </c>
      <c r="BM455" s="31">
        <f t="shared" si="419"/>
        <v>-81.4191510051831</v>
      </c>
      <c r="BO455">
        <f t="shared" si="420"/>
        <v>0</v>
      </c>
      <c r="BP455">
        <f t="shared" si="421"/>
        <v>0</v>
      </c>
    </row>
    <row r="456" spans="14:68">
      <c r="N456" s="7">
        <v>38</v>
      </c>
      <c r="O456" s="18">
        <f t="shared" si="422"/>
        <v>239883.291901949</v>
      </c>
      <c r="P456" s="86" t="str">
        <f t="shared" si="372"/>
        <v>54,5454545454545</v>
      </c>
      <c r="Q456" s="4" t="str">
        <f t="shared" si="373"/>
        <v>1+3069,27075660026i</v>
      </c>
      <c r="R456" s="4">
        <f t="shared" si="384"/>
        <v>3069.2709195054</v>
      </c>
      <c r="S456" s="4">
        <f t="shared" si="385"/>
        <v>1.57047051651489</v>
      </c>
      <c r="T456" s="4" t="str">
        <f t="shared" si="374"/>
        <v>1+23,633384825822i</v>
      </c>
      <c r="U456" s="4">
        <f t="shared" si="386"/>
        <v>23.6545318771138</v>
      </c>
      <c r="V456" s="4">
        <f t="shared" si="387"/>
        <v>1.52850852712974</v>
      </c>
      <c r="W456" t="str">
        <f t="shared" si="375"/>
        <v>1-67,8254028802291i</v>
      </c>
      <c r="X456" s="4">
        <f t="shared" si="388"/>
        <v>67.832774348875</v>
      </c>
      <c r="Y456" s="4">
        <f t="shared" si="389"/>
        <v>-1.55605365653107</v>
      </c>
      <c r="Z456" t="str">
        <f t="shared" si="376"/>
        <v>0,530253112377828+4,68318257982534i</v>
      </c>
      <c r="AA456" s="4">
        <f t="shared" si="390"/>
        <v>4.71310592276112</v>
      </c>
      <c r="AB456" s="4">
        <f t="shared" si="391"/>
        <v>1.45805153284359</v>
      </c>
      <c r="AC456" s="67" t="str">
        <f t="shared" si="392"/>
        <v>-6,02809088273287-0,516816052046437i</v>
      </c>
      <c r="AD456" s="68">
        <f t="shared" si="393"/>
        <v>15.6354015636856</v>
      </c>
      <c r="AE456" s="31">
        <f t="shared" si="394"/>
        <v>-175.09975125139</v>
      </c>
      <c r="AF456" s="32" t="str">
        <f t="shared" si="395"/>
        <v>432,040091031901</v>
      </c>
      <c r="AG456" s="32" t="str">
        <f t="shared" si="377"/>
        <v>1+2500,88728315577i</v>
      </c>
      <c r="AH456" s="32">
        <f t="shared" si="396"/>
        <v>2500.8874830848</v>
      </c>
      <c r="AI456" s="32">
        <f t="shared" si="397"/>
        <v>1.57039646873114</v>
      </c>
      <c r="AJ456" s="32" t="str">
        <f t="shared" si="378"/>
        <v>1+23,633384825822i</v>
      </c>
      <c r="AK456" s="32">
        <f t="shared" si="398"/>
        <v>23.6545318771138</v>
      </c>
      <c r="AL456" s="32">
        <f t="shared" si="399"/>
        <v>1.52850852712974</v>
      </c>
      <c r="AM456" s="32" t="str">
        <f t="shared" si="379"/>
        <v>1-6,97712458463189i</v>
      </c>
      <c r="AN456" s="32">
        <f t="shared" si="400"/>
        <v>7.04842304841833</v>
      </c>
      <c r="AO456" s="32">
        <f t="shared" si="401"/>
        <v>-1.42844029401119</v>
      </c>
      <c r="AP456" s="30" t="str">
        <f t="shared" si="402"/>
        <v>2,88890662759833-28,6576563302741i</v>
      </c>
      <c r="AQ456" s="32">
        <f t="shared" si="403"/>
        <v>29.1887243290376</v>
      </c>
      <c r="AR456" s="31">
        <f t="shared" si="404"/>
        <v>-84.2436023995186</v>
      </c>
      <c r="AS456" t="str">
        <f t="shared" si="380"/>
        <v>-0,000201496259351621</v>
      </c>
      <c r="AT456" t="str">
        <f t="shared" si="381"/>
        <v>0,33867484504861i</v>
      </c>
      <c r="AU456">
        <f t="shared" si="405"/>
        <v>0.33867484504861</v>
      </c>
      <c r="AV456">
        <f t="shared" si="406"/>
        <v>1.5707963267949</v>
      </c>
      <c r="AW456" t="str">
        <f t="shared" si="382"/>
        <v>1+17,3395308752798i</v>
      </c>
      <c r="AX456">
        <f t="shared" si="407"/>
        <v>17.368342781474</v>
      </c>
      <c r="AY456">
        <f t="shared" si="408"/>
        <v>1.51318845147641</v>
      </c>
      <c r="AZ456" t="str">
        <f t="shared" si="383"/>
        <v>1+828,977146313909i</v>
      </c>
      <c r="BA456">
        <f t="shared" si="409"/>
        <v>828.977749466626</v>
      </c>
      <c r="BB456">
        <f t="shared" si="410"/>
        <v>1.56959002150724</v>
      </c>
      <c r="BC456" s="30" t="str">
        <f t="shared" si="411"/>
        <v>-0,00160077189273773+0,0283515885607186i</v>
      </c>
      <c r="BD456" s="32">
        <f t="shared" si="412"/>
        <v>-30.9346292109417</v>
      </c>
      <c r="BE456" s="31">
        <f t="shared" si="413"/>
        <v>93.2315719206781</v>
      </c>
      <c r="BF456" s="30" t="str">
        <f t="shared" si="414"/>
        <v>0,0243021545211429-0,17007864790403i</v>
      </c>
      <c r="BG456" s="68">
        <f t="shared" si="415"/>
        <v>-15.2992276472561</v>
      </c>
      <c r="BH456" s="31">
        <f t="shared" si="416"/>
        <v>-81.8681793307115</v>
      </c>
      <c r="BI456" s="30" t="str">
        <f t="shared" si="423"/>
        <v>0,807865600860201+0,127779462861241i</v>
      </c>
      <c r="BJ456" s="68">
        <f t="shared" si="417"/>
        <v>-1.74590488190407</v>
      </c>
      <c r="BK456" s="31">
        <f t="shared" si="424"/>
        <v>8.9879695211594</v>
      </c>
      <c r="BL456" s="32">
        <f t="shared" si="418"/>
        <v>-15.2992276472561</v>
      </c>
      <c r="BM456" s="31">
        <f t="shared" si="419"/>
        <v>-81.8681793307115</v>
      </c>
      <c r="BO456">
        <f t="shared" si="420"/>
        <v>0</v>
      </c>
      <c r="BP456">
        <f t="shared" si="421"/>
        <v>0</v>
      </c>
    </row>
    <row r="457" spans="14:68">
      <c r="N457" s="7">
        <v>39</v>
      </c>
      <c r="O457" s="18">
        <f t="shared" si="422"/>
        <v>245470.891568503</v>
      </c>
      <c r="P457" s="86" t="str">
        <f t="shared" si="372"/>
        <v>54,5454545454545</v>
      </c>
      <c r="Q457" s="4" t="str">
        <f t="shared" si="373"/>
        <v>1+3140,76325664129i</v>
      </c>
      <c r="R457" s="4">
        <f t="shared" si="384"/>
        <v>3140.76341583826</v>
      </c>
      <c r="S457" s="4">
        <f t="shared" si="385"/>
        <v>1.5704779328618</v>
      </c>
      <c r="T457" s="4" t="str">
        <f t="shared" si="374"/>
        <v>1+24,1838770761379i</v>
      </c>
      <c r="U457" s="4">
        <f t="shared" si="386"/>
        <v>24.2045431775472</v>
      </c>
      <c r="V457" s="4">
        <f t="shared" si="387"/>
        <v>1.529470006628</v>
      </c>
      <c r="W457" t="str">
        <f t="shared" si="375"/>
        <v>1-69,4052594659571i</v>
      </c>
      <c r="X457" s="4">
        <f t="shared" si="388"/>
        <v>69.4124631571077</v>
      </c>
      <c r="Y457" s="4">
        <f t="shared" si="389"/>
        <v>-1.55638919370092</v>
      </c>
      <c r="Z457" t="str">
        <f t="shared" si="376"/>
        <v>0,508114623612768+4,79226791550656i</v>
      </c>
      <c r="AA457" s="4">
        <f t="shared" si="390"/>
        <v>4.81912982235618</v>
      </c>
      <c r="AB457" s="4">
        <f t="shared" si="391"/>
        <v>1.46516297969086</v>
      </c>
      <c r="AC457" s="67" t="str">
        <f t="shared" si="392"/>
        <v>-6,03575099683434-0,47801648441034i</v>
      </c>
      <c r="AD457" s="68">
        <f t="shared" si="393"/>
        <v>15.6417812434952</v>
      </c>
      <c r="AE457" s="31">
        <f t="shared" si="394"/>
        <v>-175.471768213711</v>
      </c>
      <c r="AF457" s="32" t="str">
        <f t="shared" si="395"/>
        <v>432,040091031901</v>
      </c>
      <c r="AG457" s="32" t="str">
        <f t="shared" si="377"/>
        <v>1+2559,14043133734i</v>
      </c>
      <c r="AH457" s="32">
        <f t="shared" si="396"/>
        <v>2559.14062671543</v>
      </c>
      <c r="AI457" s="32">
        <f t="shared" si="397"/>
        <v>1.57040557061096</v>
      </c>
      <c r="AJ457" s="32" t="str">
        <f t="shared" si="378"/>
        <v>1+24,1838770761379i</v>
      </c>
      <c r="AK457" s="32">
        <f t="shared" si="398"/>
        <v>24.2045431775472</v>
      </c>
      <c r="AL457" s="32">
        <f t="shared" si="399"/>
        <v>1.529470006628</v>
      </c>
      <c r="AM457" s="32" t="str">
        <f t="shared" si="379"/>
        <v>1-7,13964269372357i</v>
      </c>
      <c r="AN457" s="32">
        <f t="shared" si="400"/>
        <v>7.20933407424294</v>
      </c>
      <c r="AO457" s="32">
        <f t="shared" si="401"/>
        <v>-1.43163856594928</v>
      </c>
      <c r="AP457" s="30" t="str">
        <f t="shared" si="402"/>
        <v>2,88890353939368-29,3172757485743i</v>
      </c>
      <c r="AQ457" s="32">
        <f t="shared" si="403"/>
        <v>29.3844387761716</v>
      </c>
      <c r="AR457" s="31">
        <f t="shared" si="404"/>
        <v>-84.3722826652673</v>
      </c>
      <c r="AS457" t="str">
        <f t="shared" si="380"/>
        <v>-0,000201496259351621</v>
      </c>
      <c r="AT457" t="str">
        <f t="shared" si="381"/>
        <v>0,346563595600013i</v>
      </c>
      <c r="AU457">
        <f t="shared" si="405"/>
        <v>0.346563595600013</v>
      </c>
      <c r="AV457">
        <f t="shared" si="406"/>
        <v>1.5707963267949</v>
      </c>
      <c r="AW457" t="str">
        <f t="shared" si="382"/>
        <v>1+17,7434204341096i</v>
      </c>
      <c r="AX457">
        <f t="shared" si="407"/>
        <v>17.7715775524172</v>
      </c>
      <c r="AY457">
        <f t="shared" si="408"/>
        <v>1.51449696551746</v>
      </c>
      <c r="AZ457" t="str">
        <f t="shared" si="383"/>
        <v>1+848,286504583919i</v>
      </c>
      <c r="BA457">
        <f t="shared" si="409"/>
        <v>848.287094007214</v>
      </c>
      <c r="BB457">
        <f t="shared" si="410"/>
        <v>1.56961748034223</v>
      </c>
      <c r="BC457" s="30" t="str">
        <f t="shared" si="411"/>
        <v>-0,00152895340852273+0,0277102752269137i</v>
      </c>
      <c r="BD457" s="32">
        <f t="shared" si="412"/>
        <v>-31.1339814819443</v>
      </c>
      <c r="BE457" s="31">
        <f t="shared" si="413"/>
        <v>93.1581728640477</v>
      </c>
      <c r="BF457" s="30" t="str">
        <f t="shared" si="414"/>
        <v>0,0224743504056166-0,166521456390229i</v>
      </c>
      <c r="BG457" s="68">
        <f t="shared" si="415"/>
        <v>-15.4922002384491</v>
      </c>
      <c r="BH457" s="31">
        <f t="shared" si="416"/>
        <v>-82.3135953496632</v>
      </c>
      <c r="BI457" s="30" t="str">
        <f t="shared" si="423"/>
        <v>0,807972780982867+0,124877060864987i</v>
      </c>
      <c r="BJ457" s="68">
        <f t="shared" si="417"/>
        <v>-1.7495427057727</v>
      </c>
      <c r="BK457" s="31">
        <f t="shared" si="424"/>
        <v>8.78589019878038</v>
      </c>
      <c r="BL457" s="32">
        <f t="shared" si="418"/>
        <v>-15.4922002384491</v>
      </c>
      <c r="BM457" s="31">
        <f t="shared" si="419"/>
        <v>-82.3135953496632</v>
      </c>
      <c r="BO457">
        <f t="shared" si="420"/>
        <v>0</v>
      </c>
      <c r="BP457">
        <f t="shared" si="421"/>
        <v>0</v>
      </c>
    </row>
    <row r="458" spans="14:68">
      <c r="N458" s="7">
        <v>40</v>
      </c>
      <c r="O458" s="18">
        <f t="shared" si="422"/>
        <v>251188.643150958</v>
      </c>
      <c r="P458" s="86" t="str">
        <f t="shared" si="372"/>
        <v>54,5454545454545</v>
      </c>
      <c r="Q458" s="4" t="str">
        <f t="shared" si="373"/>
        <v>1+3213,92103093392i</v>
      </c>
      <c r="R458" s="4">
        <f t="shared" si="384"/>
        <v>3213.92118650712</v>
      </c>
      <c r="S458" s="4">
        <f t="shared" si="385"/>
        <v>1.57048518039207</v>
      </c>
      <c r="T458" s="4" t="str">
        <f t="shared" si="374"/>
        <v>1+24,7471919381912i</v>
      </c>
      <c r="U458" s="4">
        <f t="shared" si="386"/>
        <v>24.7673880097534</v>
      </c>
      <c r="V458" s="4">
        <f t="shared" si="387"/>
        <v>1.53040967406031</v>
      </c>
      <c r="W458" t="str">
        <f t="shared" si="375"/>
        <v>1-71,0219156389417i</v>
      </c>
      <c r="X458" s="4">
        <f t="shared" si="388"/>
        <v>71.0289553705033</v>
      </c>
      <c r="Y458" s="4">
        <f t="shared" si="389"/>
        <v>-1.55671709624725</v>
      </c>
      <c r="Z458" t="str">
        <f t="shared" si="376"/>
        <v>0,484932780016163+4,90389417506978i</v>
      </c>
      <c r="AA458" s="4">
        <f t="shared" si="390"/>
        <v>4.92781268733071</v>
      </c>
      <c r="AB458" s="4">
        <f t="shared" si="391"/>
        <v>1.47222949344337</v>
      </c>
      <c r="AC458" s="67" t="str">
        <f t="shared" si="392"/>
        <v>-6,0428272456256-0,439302807402714i</v>
      </c>
      <c r="AD458" s="68">
        <f t="shared" si="393"/>
        <v>15.6476957348539</v>
      </c>
      <c r="AE458" s="31">
        <f t="shared" si="394"/>
        <v>-175.842013334476</v>
      </c>
      <c r="AF458" s="32" t="str">
        <f t="shared" si="395"/>
        <v>432,040091031901</v>
      </c>
      <c r="AG458" s="32" t="str">
        <f t="shared" si="377"/>
        <v>1+2618,75046964986i</v>
      </c>
      <c r="AH458" s="32">
        <f t="shared" si="396"/>
        <v>2618.75066058061</v>
      </c>
      <c r="AI458" s="32">
        <f t="shared" si="397"/>
        <v>1.57041446530676</v>
      </c>
      <c r="AJ458" s="32" t="str">
        <f t="shared" si="378"/>
        <v>1+24,7471919381912i</v>
      </c>
      <c r="AK458" s="32">
        <f t="shared" si="398"/>
        <v>24.7673880097534</v>
      </c>
      <c r="AL458" s="32">
        <f t="shared" si="399"/>
        <v>1.53040967406031</v>
      </c>
      <c r="AM458" s="32" t="str">
        <f t="shared" si="379"/>
        <v>1-7,30594633587584i</v>
      </c>
      <c r="AN458" s="32">
        <f t="shared" si="400"/>
        <v>7.3740661688581</v>
      </c>
      <c r="AO458" s="32">
        <f t="shared" si="401"/>
        <v>-1.434766807555</v>
      </c>
      <c r="AP458" s="30" t="str">
        <f t="shared" si="402"/>
        <v>2,88890059018109-29,9924395744278i</v>
      </c>
      <c r="AQ458" s="32">
        <f t="shared" si="403"/>
        <v>29.5803427454157</v>
      </c>
      <c r="AR458" s="31">
        <f t="shared" si="404"/>
        <v>-84.4981883570837</v>
      </c>
      <c r="AS458" t="str">
        <f t="shared" si="380"/>
        <v>-0,000201496259351621</v>
      </c>
      <c r="AT458" t="str">
        <f t="shared" si="381"/>
        <v>0,354636098757114i</v>
      </c>
      <c r="AU458">
        <f t="shared" si="405"/>
        <v>0.354636098757114</v>
      </c>
      <c r="AV458">
        <f t="shared" si="406"/>
        <v>1.5707963267949</v>
      </c>
      <c r="AW458" t="str">
        <f t="shared" si="382"/>
        <v>1+18,1567177893155i</v>
      </c>
      <c r="AX458">
        <f t="shared" si="407"/>
        <v>18.1842349545106</v>
      </c>
      <c r="AY458">
        <f t="shared" si="408"/>
        <v>1.51577588065925</v>
      </c>
      <c r="AZ458" t="str">
        <f t="shared" si="383"/>
        <v>1+868,045635587063i</v>
      </c>
      <c r="BA458">
        <f t="shared" si="409"/>
        <v>868.046211593454</v>
      </c>
      <c r="BB458">
        <f t="shared" si="410"/>
        <v>1.56964431413954</v>
      </c>
      <c r="BC458" s="30" t="str">
        <f t="shared" si="411"/>
        <v>-0,00146034727725635+0,0270832909082643i</v>
      </c>
      <c r="BD458" s="32">
        <f t="shared" si="412"/>
        <v>-31.3333628152801</v>
      </c>
      <c r="BE458" s="31">
        <f t="shared" si="413"/>
        <v>93.086433887402</v>
      </c>
      <c r="BF458" s="30" t="str">
        <f t="shared" si="414"/>
        <v>0,0207223920447847-0,163018113542982i</v>
      </c>
      <c r="BG458" s="68">
        <f t="shared" si="415"/>
        <v>-15.6856670804263</v>
      </c>
      <c r="BH458" s="31">
        <f t="shared" si="416"/>
        <v>-82.7555794470745</v>
      </c>
      <c r="BI458" s="30" t="str">
        <f t="shared" si="423"/>
        <v>0,808075167931632+0,122040312559722i</v>
      </c>
      <c r="BJ458" s="68">
        <f t="shared" si="417"/>
        <v>-1.7530200698644</v>
      </c>
      <c r="BK458" s="31">
        <f t="shared" si="424"/>
        <v>8.58824553031822</v>
      </c>
      <c r="BL458" s="32">
        <f t="shared" si="418"/>
        <v>-15.6856670804263</v>
      </c>
      <c r="BM458" s="31">
        <f t="shared" si="419"/>
        <v>-82.7555794470745</v>
      </c>
      <c r="BO458">
        <f t="shared" si="420"/>
        <v>0</v>
      </c>
      <c r="BP458">
        <f t="shared" si="421"/>
        <v>0</v>
      </c>
    </row>
    <row r="459" spans="14:68">
      <c r="N459" s="7">
        <v>41</v>
      </c>
      <c r="O459" s="18">
        <f t="shared" si="422"/>
        <v>257039.578276887</v>
      </c>
      <c r="P459" s="86" t="str">
        <f t="shared" si="372"/>
        <v>54,5454545454545</v>
      </c>
      <c r="Q459" s="4" t="str">
        <f t="shared" si="373"/>
        <v>1+3288,78286869841i</v>
      </c>
      <c r="R459" s="4">
        <f t="shared" si="384"/>
        <v>3288.78302073033</v>
      </c>
      <c r="S459" s="4">
        <f t="shared" si="385"/>
        <v>1.57049226294845</v>
      </c>
      <c r="T459" s="4" t="str">
        <f t="shared" si="374"/>
        <v>1+25,3236280889778i</v>
      </c>
      <c r="U459" s="4">
        <f t="shared" si="386"/>
        <v>25.3433648040047</v>
      </c>
      <c r="V459" s="4">
        <f t="shared" si="387"/>
        <v>1.53132802100939</v>
      </c>
      <c r="W459" t="str">
        <f t="shared" si="375"/>
        <v>1-72,6762285716837i</v>
      </c>
      <c r="X459" s="4">
        <f t="shared" si="388"/>
        <v>72.683108074735</v>
      </c>
      <c r="Y459" s="4">
        <f t="shared" si="389"/>
        <v>-1.55703753774612</v>
      </c>
      <c r="Z459" t="str">
        <f t="shared" si="376"/>
        <v>0,460658409789715+5,0181205442353i</v>
      </c>
      <c r="AA459" s="4">
        <f t="shared" si="390"/>
        <v>5.03922017448994</v>
      </c>
      <c r="AB459" s="4">
        <f t="shared" si="391"/>
        <v>1.47925390340175</v>
      </c>
      <c r="AC459" s="67" t="str">
        <f t="shared" si="392"/>
        <v>-6,04932974446162-0,400668701466734i</v>
      </c>
      <c r="AD459" s="68">
        <f t="shared" si="393"/>
        <v>15.6531554993588</v>
      </c>
      <c r="AE459" s="31">
        <f t="shared" si="394"/>
        <v>-176.210630720405</v>
      </c>
      <c r="AF459" s="32" t="str">
        <f t="shared" si="395"/>
        <v>432,040091031901</v>
      </c>
      <c r="AG459" s="32" t="str">
        <f t="shared" si="377"/>
        <v>1+2679,74900412463i</v>
      </c>
      <c r="AH459" s="32">
        <f t="shared" si="396"/>
        <v>2679.74919070926</v>
      </c>
      <c r="AI459" s="32">
        <f t="shared" si="397"/>
        <v>1.57042315753463</v>
      </c>
      <c r="AJ459" s="32" t="str">
        <f t="shared" si="378"/>
        <v>1+25,3236280889778i</v>
      </c>
      <c r="AK459" s="32">
        <f t="shared" si="398"/>
        <v>25.3433648040047</v>
      </c>
      <c r="AL459" s="32">
        <f t="shared" si="399"/>
        <v>1.53132802100939</v>
      </c>
      <c r="AM459" s="32" t="str">
        <f t="shared" si="379"/>
        <v>1-7,47612368748098i</v>
      </c>
      <c r="AN459" s="32">
        <f t="shared" si="400"/>
        <v>7.54270676816448</v>
      </c>
      <c r="AO459" s="32">
        <f t="shared" si="401"/>
        <v>-1.43782643243357</v>
      </c>
      <c r="AP459" s="30" t="str">
        <f t="shared" si="402"/>
        <v>2,8888977737049-30,683505788639i</v>
      </c>
      <c r="AQ459" s="32">
        <f t="shared" si="403"/>
        <v>29.7764279971942</v>
      </c>
      <c r="AR459" s="31">
        <f t="shared" si="404"/>
        <v>-84.6213725731792</v>
      </c>
      <c r="AS459" t="str">
        <f t="shared" si="380"/>
        <v>-0,000201496259351621</v>
      </c>
      <c r="AT459" t="str">
        <f t="shared" si="381"/>
        <v>0,362896634667941i</v>
      </c>
      <c r="AU459">
        <f t="shared" si="405"/>
        <v>0.362896634667941</v>
      </c>
      <c r="AV459">
        <f t="shared" si="406"/>
        <v>1.5707963267949</v>
      </c>
      <c r="AW459" t="str">
        <f t="shared" si="382"/>
        <v>1+18,5796420766259i</v>
      </c>
      <c r="AX459">
        <f t="shared" si="407"/>
        <v>18.6065337904599</v>
      </c>
      <c r="AY459">
        <f t="shared" si="408"/>
        <v>1.51702585825545</v>
      </c>
      <c r="AZ459" t="str">
        <f t="shared" si="383"/>
        <v>1+888,265015876133i</v>
      </c>
      <c r="BA459">
        <f t="shared" si="409"/>
        <v>888.265578771027</v>
      </c>
      <c r="BB459">
        <f t="shared" si="410"/>
        <v>1.56967053712666</v>
      </c>
      <c r="BC459" s="30" t="str">
        <f t="shared" si="411"/>
        <v>-0,00139481067220709+0,0264703272756292i</v>
      </c>
      <c r="BD459" s="32">
        <f t="shared" si="412"/>
        <v>-31.5327719108486</v>
      </c>
      <c r="BE459" s="31">
        <f t="shared" si="413"/>
        <v>93.0163179131415</v>
      </c>
      <c r="BF459" s="30" t="str">
        <f t="shared" si="414"/>
        <v>0,0190435013442007-0,159568881153272i</v>
      </c>
      <c r="BG459" s="68">
        <f t="shared" si="415"/>
        <v>-15.8796164114898</v>
      </c>
      <c r="BH459" s="31">
        <f t="shared" si="416"/>
        <v>-83.1943128072634</v>
      </c>
      <c r="BI459" s="30" t="str">
        <f t="shared" si="423"/>
        <v>0,808172974743258+0,119267750870527i</v>
      </c>
      <c r="BJ459" s="68">
        <f t="shared" si="417"/>
        <v>-1.75634391365441</v>
      </c>
      <c r="BK459" s="31">
        <f t="shared" si="424"/>
        <v>8.39494533996232</v>
      </c>
      <c r="BL459" s="32">
        <f t="shared" si="418"/>
        <v>-15.8796164114898</v>
      </c>
      <c r="BM459" s="31">
        <f t="shared" si="419"/>
        <v>-83.1943128072634</v>
      </c>
      <c r="BO459">
        <f t="shared" si="420"/>
        <v>0</v>
      </c>
      <c r="BP459">
        <f t="shared" si="421"/>
        <v>0</v>
      </c>
    </row>
    <row r="460" spans="14:68">
      <c r="N460" s="7">
        <v>42</v>
      </c>
      <c r="O460" s="18">
        <f t="shared" si="422"/>
        <v>263026.799189539</v>
      </c>
      <c r="P460" s="86" t="str">
        <f t="shared" si="372"/>
        <v>54,5454545454545</v>
      </c>
      <c r="Q460" s="4" t="str">
        <f t="shared" si="373"/>
        <v>1+3365,38846267209i</v>
      </c>
      <c r="R460" s="4">
        <f t="shared" si="384"/>
        <v>3365.38861124335</v>
      </c>
      <c r="S460" s="4">
        <f t="shared" si="385"/>
        <v>1.57049918428619</v>
      </c>
      <c r="T460" s="4" t="str">
        <f t="shared" si="374"/>
        <v>1+25,9134911625752i</v>
      </c>
      <c r="U460" s="4">
        <f t="shared" si="386"/>
        <v>25.9327789531485</v>
      </c>
      <c r="V460" s="4">
        <f t="shared" si="387"/>
        <v>1.53222552819542</v>
      </c>
      <c r="W460" t="str">
        <f t="shared" si="375"/>
        <v>1-74,3690754027986i</v>
      </c>
      <c r="X460" s="4">
        <f t="shared" si="388"/>
        <v>74.3757983235619</v>
      </c>
      <c r="Y460" s="4">
        <f t="shared" si="389"/>
        <v>-1.55735068783647</v>
      </c>
      <c r="Z460" t="str">
        <f t="shared" si="376"/>
        <v>0,435240023739635+5,13500758733609i</v>
      </c>
      <c r="AA460" s="4">
        <f t="shared" si="390"/>
        <v>5.15341991305425</v>
      </c>
      <c r="AB460" s="4">
        <f t="shared" si="391"/>
        <v>1.48623905800376</v>
      </c>
      <c r="AC460" s="67" t="str">
        <f t="shared" si="392"/>
        <v>-6,05526786705567-0,362107336798595i</v>
      </c>
      <c r="AD460" s="68">
        <f t="shared" si="393"/>
        <v>15.6581702356753</v>
      </c>
      <c r="AE460" s="31">
        <f t="shared" si="394"/>
        <v>-176.577765966477</v>
      </c>
      <c r="AF460" s="32" t="str">
        <f t="shared" si="395"/>
        <v>432,040091031901</v>
      </c>
      <c r="AG460" s="32" t="str">
        <f t="shared" si="377"/>
        <v>1+2742,16837699208i</v>
      </c>
      <c r="AH460" s="32">
        <f t="shared" si="396"/>
        <v>2742.16855932953</v>
      </c>
      <c r="AI460" s="32">
        <f t="shared" si="397"/>
        <v>1.57043165190328</v>
      </c>
      <c r="AJ460" s="32" t="str">
        <f t="shared" si="378"/>
        <v>1+25,9134911625752i</v>
      </c>
      <c r="AK460" s="32">
        <f t="shared" si="398"/>
        <v>25.9327789531485</v>
      </c>
      <c r="AL460" s="32">
        <f t="shared" si="399"/>
        <v>1.53222552819542</v>
      </c>
      <c r="AM460" s="32" t="str">
        <f t="shared" si="379"/>
        <v>1-7,65026497882347i</v>
      </c>
      <c r="AN460" s="32">
        <f t="shared" si="400"/>
        <v>7.71534537439594</v>
      </c>
      <c r="AO460" s="32">
        <f t="shared" si="401"/>
        <v>-1.44081883358106</v>
      </c>
      <c r="AP460" s="30" t="str">
        <f t="shared" si="402"/>
        <v>2,88889508399099-31,3908408036691i</v>
      </c>
      <c r="AQ460" s="32">
        <f t="shared" si="403"/>
        <v>29.9726866378971</v>
      </c>
      <c r="AR460" s="31">
        <f t="shared" si="404"/>
        <v>-84.7418878471719</v>
      </c>
      <c r="AS460" t="str">
        <f t="shared" si="380"/>
        <v>-0,000201496259351621</v>
      </c>
      <c r="AT460" t="str">
        <f t="shared" si="381"/>
        <v>0,371349583177973i</v>
      </c>
      <c r="AU460">
        <f t="shared" si="405"/>
        <v>0.371349583177973</v>
      </c>
      <c r="AV460">
        <f t="shared" si="406"/>
        <v>1.5707963267949</v>
      </c>
      <c r="AW460" t="str">
        <f t="shared" si="382"/>
        <v>1+19,012417536096i</v>
      </c>
      <c r="AX460">
        <f t="shared" si="407"/>
        <v>19.0386979745688</v>
      </c>
      <c r="AY460">
        <f t="shared" si="408"/>
        <v>1.51824754542772</v>
      </c>
      <c r="AZ460" t="str">
        <f t="shared" si="383"/>
        <v>1+908,955366034204i</v>
      </c>
      <c r="BA460">
        <f t="shared" si="409"/>
        <v>908.955916116053</v>
      </c>
      <c r="BB460">
        <f t="shared" si="410"/>
        <v>1.56969616320721</v>
      </c>
      <c r="BC460" s="30" t="str">
        <f t="shared" si="411"/>
        <v>-0,00133220704166721+0,0258710818405412i</v>
      </c>
      <c r="BD460" s="32">
        <f t="shared" si="412"/>
        <v>-31.732207526369</v>
      </c>
      <c r="BE460" s="31">
        <f t="shared" si="413"/>
        <v>92.9477886605461</v>
      </c>
      <c r="BF460" s="30" t="str">
        <f t="shared" si="414"/>
        <v>0,0174349790370496-0,156173928611074i</v>
      </c>
      <c r="BG460" s="68">
        <f t="shared" si="415"/>
        <v>-16.0740372906937</v>
      </c>
      <c r="BH460" s="31">
        <f t="shared" si="416"/>
        <v>-83.6299773059304</v>
      </c>
      <c r="BI460" s="30" t="str">
        <f t="shared" si="423"/>
        <v>0,808266405101593+0,11655794030917i</v>
      </c>
      <c r="BJ460" s="68">
        <f t="shared" si="417"/>
        <v>-1.75952088847187</v>
      </c>
      <c r="BK460" s="31">
        <f t="shared" si="424"/>
        <v>8.20590081337425</v>
      </c>
      <c r="BL460" s="32">
        <f t="shared" si="418"/>
        <v>-16.0740372906937</v>
      </c>
      <c r="BM460" s="31">
        <f t="shared" si="419"/>
        <v>-83.6299773059304</v>
      </c>
      <c r="BO460">
        <f t="shared" si="420"/>
        <v>0</v>
      </c>
      <c r="BP460">
        <f t="shared" si="421"/>
        <v>0</v>
      </c>
    </row>
    <row r="461" spans="14:68">
      <c r="N461" s="7">
        <v>43</v>
      </c>
      <c r="O461" s="18">
        <f t="shared" si="422"/>
        <v>269153.480392691</v>
      </c>
      <c r="P461" s="86" t="str">
        <f t="shared" si="372"/>
        <v>54,5454545454545</v>
      </c>
      <c r="Q461" s="4" t="str">
        <f t="shared" si="373"/>
        <v>1+3443,77843015482i</v>
      </c>
      <c r="R461" s="4">
        <f t="shared" si="384"/>
        <v>3443.77857534418</v>
      </c>
      <c r="S461" s="4">
        <f t="shared" si="385"/>
        <v>1.57050594807508</v>
      </c>
      <c r="T461" s="4" t="str">
        <f t="shared" si="374"/>
        <v>1+26,5170939121921i</v>
      </c>
      <c r="U461" s="4">
        <f t="shared" si="386"/>
        <v>26.5359429745396</v>
      </c>
      <c r="V461" s="4">
        <f t="shared" si="387"/>
        <v>1.53310266570161</v>
      </c>
      <c r="W461" t="str">
        <f t="shared" si="375"/>
        <v>1-76,1013537020821i</v>
      </c>
      <c r="X461" s="4">
        <f t="shared" si="388"/>
        <v>76.1079236038496</v>
      </c>
      <c r="Y461" s="4">
        <f t="shared" si="389"/>
        <v>-1.55765671230881</v>
      </c>
      <c r="Z461" t="str">
        <f t="shared" si="376"/>
        <v>0,408623706061235+5,25461727942947i</v>
      </c>
      <c r="AA461" s="4">
        <f t="shared" si="390"/>
        <v>5.27048158012472</v>
      </c>
      <c r="AB461" s="4">
        <f t="shared" si="391"/>
        <v>1.49318782294115</v>
      </c>
      <c r="AC461" s="67" t="str">
        <f t="shared" si="392"/>
        <v>-6,06065023577775-0,323611414856874i</v>
      </c>
      <c r="AD461" s="68">
        <f t="shared" si="393"/>
        <v>15.6627488863725</v>
      </c>
      <c r="AE461" s="31">
        <f t="shared" si="394"/>
        <v>-176.943566040309</v>
      </c>
      <c r="AF461" s="32" t="str">
        <f t="shared" si="395"/>
        <v>432,040091031901</v>
      </c>
      <c r="AG461" s="32" t="str">
        <f t="shared" si="377"/>
        <v>1+2806,04168382985i</v>
      </c>
      <c r="AH461" s="32">
        <f t="shared" si="396"/>
        <v>2806.04186201679</v>
      </c>
      <c r="AI461" s="32">
        <f t="shared" si="397"/>
        <v>1.57043995291655</v>
      </c>
      <c r="AJ461" s="32" t="str">
        <f t="shared" si="378"/>
        <v>1+26,5170939121921i</v>
      </c>
      <c r="AK461" s="32">
        <f t="shared" si="398"/>
        <v>26.5359429745396</v>
      </c>
      <c r="AL461" s="32">
        <f t="shared" si="399"/>
        <v>1.53310266570161</v>
      </c>
      <c r="AM461" s="32" t="str">
        <f t="shared" si="379"/>
        <v>1-7,82846254192085i</v>
      </c>
      <c r="AN461" s="32">
        <f t="shared" si="400"/>
        <v>7.89207360395592</v>
      </c>
      <c r="AO461" s="32">
        <f t="shared" si="401"/>
        <v>-1.44374538313181</v>
      </c>
      <c r="AP461" s="30" t="str">
        <f t="shared" si="402"/>
        <v>2,8888925153341-32,1148196579114i</v>
      </c>
      <c r="AQ461" s="32">
        <f t="shared" si="403"/>
        <v>30.1691111064141</v>
      </c>
      <c r="AR461" s="31">
        <f t="shared" si="404"/>
        <v>-84.8597861208345</v>
      </c>
      <c r="AS461" t="str">
        <f t="shared" si="380"/>
        <v>-0,000201496259351621</v>
      </c>
      <c r="AT461" t="str">
        <f t="shared" si="381"/>
        <v>0,379999426152397i</v>
      </c>
      <c r="AU461">
        <f t="shared" si="405"/>
        <v>0.379999426152397</v>
      </c>
      <c r="AV461">
        <f t="shared" si="406"/>
        <v>1.5707963267949</v>
      </c>
      <c r="AW461" t="str">
        <f t="shared" si="382"/>
        <v>1+19,4552736310025i</v>
      </c>
      <c r="AX461">
        <f t="shared" si="407"/>
        <v>19.4809566514887</v>
      </c>
      <c r="AY461">
        <f t="shared" si="408"/>
        <v>1.51944157533536</v>
      </c>
      <c r="AZ461" t="str">
        <f t="shared" si="383"/>
        <v>1+930,127656358779i</v>
      </c>
      <c r="BA461">
        <f t="shared" si="409"/>
        <v>930.128193919244</v>
      </c>
      <c r="BB461">
        <f t="shared" si="410"/>
        <v>1.56972120596834</v>
      </c>
      <c r="BC461" s="30" t="str">
        <f t="shared" si="411"/>
        <v>-0,00127240583988442+0,0252852578994702i</v>
      </c>
      <c r="BD461" s="32">
        <f t="shared" si="412"/>
        <v>-31.9316684748396</v>
      </c>
      <c r="BE461" s="31">
        <f t="shared" si="413"/>
        <v>92.8808106307466</v>
      </c>
      <c r="BF461" s="30" t="str">
        <f t="shared" si="414"/>
        <v>0,015894204837369-0,152833339196008i</v>
      </c>
      <c r="BG461" s="68">
        <f t="shared" si="415"/>
        <v>-16.2689195884671</v>
      </c>
      <c r="BH461" s="31">
        <f t="shared" si="416"/>
        <v>-84.0627554095625</v>
      </c>
      <c r="BI461" s="30" t="str">
        <f t="shared" si="423"/>
        <v>0,808355653737956+0,113909476373633i</v>
      </c>
      <c r="BJ461" s="68">
        <f t="shared" si="417"/>
        <v>-1.76255736842549</v>
      </c>
      <c r="BK461" s="31">
        <f t="shared" si="424"/>
        <v>8.0210245099121</v>
      </c>
      <c r="BL461" s="32">
        <f t="shared" si="418"/>
        <v>-16.2689195884671</v>
      </c>
      <c r="BM461" s="31">
        <f t="shared" si="419"/>
        <v>-84.0627554095625</v>
      </c>
      <c r="BO461">
        <f t="shared" si="420"/>
        <v>0</v>
      </c>
      <c r="BP461">
        <f t="shared" si="421"/>
        <v>0</v>
      </c>
    </row>
    <row r="462" spans="14:68">
      <c r="N462" s="7">
        <v>44</v>
      </c>
      <c r="O462" s="18">
        <f t="shared" si="422"/>
        <v>275422.870333817</v>
      </c>
      <c r="P462" s="86" t="str">
        <f t="shared" si="372"/>
        <v>54,5454545454545</v>
      </c>
      <c r="Q462" s="4" t="str">
        <f t="shared" si="373"/>
        <v>1+3523,99433454507i</v>
      </c>
      <c r="R462" s="4">
        <f t="shared" si="384"/>
        <v>3523.99447642952</v>
      </c>
      <c r="S462" s="4">
        <f t="shared" si="385"/>
        <v>1.57051255790136</v>
      </c>
      <c r="T462" s="4" t="str">
        <f t="shared" si="374"/>
        <v>1+27,1347563759971i</v>
      </c>
      <c r="U462" s="4">
        <f t="shared" si="386"/>
        <v>27.1531766757541</v>
      </c>
      <c r="V462" s="4">
        <f t="shared" si="387"/>
        <v>1.53395989319607</v>
      </c>
      <c r="W462" t="str">
        <f t="shared" si="375"/>
        <v>1-77,8739819464202i</v>
      </c>
      <c r="X462" s="4">
        <f t="shared" si="388"/>
        <v>77.8804023114376</v>
      </c>
      <c r="Y462" s="4">
        <f t="shared" si="389"/>
        <v>-1.55795577319196</v>
      </c>
      <c r="Z462" t="str">
        <f t="shared" si="376"/>
        <v>0,380752999976169+5,37701303915758i</v>
      </c>
      <c r="AA462" s="4">
        <f t="shared" si="390"/>
        <v>5.3904769798471</v>
      </c>
      <c r="AB462" s="4">
        <f t="shared" si="391"/>
        <v>1.50010307939597</v>
      </c>
      <c r="AC462" s="67" t="str">
        <f t="shared" si="392"/>
        <v>-6,06548471313349-0,285173208910888i</v>
      </c>
      <c r="AD462" s="68">
        <f t="shared" si="393"/>
        <v>15.6668996444608</v>
      </c>
      <c r="AE462" s="31">
        <f t="shared" si="394"/>
        <v>-177.308179173477</v>
      </c>
      <c r="AF462" s="32" t="str">
        <f t="shared" si="395"/>
        <v>432,040091031901</v>
      </c>
      <c r="AG462" s="32" t="str">
        <f t="shared" si="377"/>
        <v>1+2871,4027911108i</v>
      </c>
      <c r="AH462" s="32">
        <f t="shared" si="396"/>
        <v>2871.40296524171</v>
      </c>
      <c r="AI462" s="32">
        <f t="shared" si="397"/>
        <v>1.57044806497574</v>
      </c>
      <c r="AJ462" s="32" t="str">
        <f t="shared" si="378"/>
        <v>1+27,1347563759971i</v>
      </c>
      <c r="AK462" s="32">
        <f t="shared" si="398"/>
        <v>27.1531766757541</v>
      </c>
      <c r="AL462" s="32">
        <f t="shared" si="399"/>
        <v>1.53395989319607</v>
      </c>
      <c r="AM462" s="32" t="str">
        <f t="shared" si="379"/>
        <v>1-8,01081085948005i</v>
      </c>
      <c r="AN462" s="32">
        <f t="shared" si="400"/>
        <v>8.07298523635238</v>
      </c>
      <c r="AO462" s="32">
        <f t="shared" si="401"/>
        <v>-1.44660743215458</v>
      </c>
      <c r="AP462" s="30" t="str">
        <f t="shared" si="402"/>
        <v>2,88889006228579-32,8558262145445i</v>
      </c>
      <c r="AQ462" s="32">
        <f t="shared" si="403"/>
        <v>30.3656941610993</v>
      </c>
      <c r="AR462" s="31">
        <f t="shared" si="404"/>
        <v>-84.9751187198383</v>
      </c>
      <c r="AS462" t="str">
        <f t="shared" si="380"/>
        <v>-0,000201496259351621</v>
      </c>
      <c r="AT462" t="str">
        <f t="shared" si="381"/>
        <v>0,388850749852457i</v>
      </c>
      <c r="AU462">
        <f t="shared" si="405"/>
        <v>0.388850749852457</v>
      </c>
      <c r="AV462">
        <f t="shared" si="406"/>
        <v>1.5707963267949</v>
      </c>
      <c r="AW462" t="str">
        <f t="shared" si="382"/>
        <v>1+19,9084451695096i</v>
      </c>
      <c r="AX462">
        <f t="shared" si="407"/>
        <v>19.9335443177416</v>
      </c>
      <c r="AY462">
        <f t="shared" si="408"/>
        <v>1.5206085674424</v>
      </c>
      <c r="AZ462" t="str">
        <f t="shared" si="383"/>
        <v>1+951,793112678468i</v>
      </c>
      <c r="BA462">
        <f t="shared" si="409"/>
        <v>951.79363800257</v>
      </c>
      <c r="BB462">
        <f t="shared" si="410"/>
        <v>1.56974567868794</v>
      </c>
      <c r="BC462" s="30" t="str">
        <f t="shared" si="411"/>
        <v>-0,00121528226894514+0,0247125644743517i</v>
      </c>
      <c r="BD462" s="32">
        <f t="shared" si="412"/>
        <v>-32.1311536221048</v>
      </c>
      <c r="BE462" s="31">
        <f t="shared" si="413"/>
        <v>92.8153490918344</v>
      </c>
      <c r="BF462" s="30" t="str">
        <f t="shared" si="414"/>
        <v>0,014418637335997-0,149547116097138i</v>
      </c>
      <c r="BG462" s="68">
        <f t="shared" si="415"/>
        <v>-16.4642539776441</v>
      </c>
      <c r="BH462" s="31">
        <f t="shared" si="416"/>
        <v>-84.492830081643</v>
      </c>
      <c r="BI462" s="30" t="str">
        <f t="shared" si="423"/>
        <v>0,808440906815398+0,11132098495363i</v>
      </c>
      <c r="BJ462" s="68">
        <f t="shared" si="417"/>
        <v>-1.76545946100548</v>
      </c>
      <c r="BK462" s="31">
        <f t="shared" si="424"/>
        <v>7.84023037199606</v>
      </c>
      <c r="BL462" s="32">
        <f t="shared" si="418"/>
        <v>-16.4642539776441</v>
      </c>
      <c r="BM462" s="31">
        <f t="shared" si="419"/>
        <v>-84.492830081643</v>
      </c>
      <c r="BO462">
        <f t="shared" si="420"/>
        <v>0</v>
      </c>
      <c r="BP462">
        <f t="shared" si="421"/>
        <v>0</v>
      </c>
    </row>
    <row r="463" spans="14:68">
      <c r="N463" s="7">
        <v>45</v>
      </c>
      <c r="O463" s="18">
        <f t="shared" si="422"/>
        <v>281838.293126446</v>
      </c>
      <c r="P463" s="86" t="str">
        <f t="shared" si="372"/>
        <v>54,5454545454545</v>
      </c>
      <c r="Q463" s="4" t="str">
        <f t="shared" si="373"/>
        <v>1+3606,07870737705i</v>
      </c>
      <c r="R463" s="4">
        <f t="shared" si="384"/>
        <v>3606.07884603181</v>
      </c>
      <c r="S463" s="4">
        <f t="shared" si="385"/>
        <v>1.57051901726964</v>
      </c>
      <c r="T463" s="4" t="str">
        <f t="shared" si="374"/>
        <v>1+27,7668060468033i</v>
      </c>
      <c r="U463" s="4">
        <f t="shared" si="386"/>
        <v>27.7848073241618</v>
      </c>
      <c r="V463" s="4">
        <f t="shared" si="387"/>
        <v>1.53479766014987</v>
      </c>
      <c r="W463" t="str">
        <f t="shared" si="375"/>
        <v>1-79,6879000067698i</v>
      </c>
      <c r="X463" s="4">
        <f t="shared" si="388"/>
        <v>79.6941742380768</v>
      </c>
      <c r="Y463" s="4">
        <f t="shared" si="389"/>
        <v>-1.55824802883786</v>
      </c>
      <c r="Z463" t="str">
        <f t="shared" si="376"/>
        <v>0,351568787980172+5,5022597623722i</v>
      </c>
      <c r="AA463" s="4">
        <f t="shared" si="390"/>
        <v>5.51348012649924</v>
      </c>
      <c r="AB463" s="4">
        <f t="shared" si="391"/>
        <v>1.50698772238756</v>
      </c>
      <c r="AC463" s="67" t="str">
        <f t="shared" si="392"/>
        <v>-6,06977839428525-0,246784603677419i</v>
      </c>
      <c r="AD463" s="68">
        <f t="shared" si="393"/>
        <v>15.6706299595731</v>
      </c>
      <c r="AE463" s="31">
        <f t="shared" si="394"/>
        <v>-177.671754759272</v>
      </c>
      <c r="AF463" s="32" t="str">
        <f t="shared" si="395"/>
        <v>432,040091031901</v>
      </c>
      <c r="AG463" s="32" t="str">
        <f t="shared" si="377"/>
        <v>1+2938,28635415908i</v>
      </c>
      <c r="AH463" s="32">
        <f t="shared" si="396"/>
        <v>2938.28652432629</v>
      </c>
      <c r="AI463" s="32">
        <f t="shared" si="397"/>
        <v>1.57045599238196</v>
      </c>
      <c r="AJ463" s="32" t="str">
        <f t="shared" si="378"/>
        <v>1+27,7668060468033i</v>
      </c>
      <c r="AK463" s="32">
        <f t="shared" si="398"/>
        <v>27.7848073241618</v>
      </c>
      <c r="AL463" s="32">
        <f t="shared" si="399"/>
        <v>1.53479766014987</v>
      </c>
      <c r="AM463" s="32" t="str">
        <f t="shared" si="379"/>
        <v>1-8,1974066149925i</v>
      </c>
      <c r="AN463" s="32">
        <f t="shared" si="400"/>
        <v>8.2581762642561</v>
      </c>
      <c r="AO463" s="32">
        <f t="shared" si="401"/>
        <v>-1.44940631049378</v>
      </c>
      <c r="AP463" s="30" t="str">
        <f t="shared" si="402"/>
        <v>2,88888771964282-33,6142533650575i</v>
      </c>
      <c r="AQ463" s="32">
        <f t="shared" si="403"/>
        <v>30.5624288671617</v>
      </c>
      <c r="AR463" s="31">
        <f t="shared" si="404"/>
        <v>-85.0879363322956</v>
      </c>
      <c r="AS463" t="str">
        <f t="shared" si="380"/>
        <v>-0,000201496259351621</v>
      </c>
      <c r="AT463" t="str">
        <f t="shared" si="381"/>
        <v>0,397908247367137i</v>
      </c>
      <c r="AU463">
        <f t="shared" si="405"/>
        <v>0.397908247367137</v>
      </c>
      <c r="AV463">
        <f t="shared" si="406"/>
        <v>1.5707963267949</v>
      </c>
      <c r="AW463" t="str">
        <f t="shared" si="382"/>
        <v>1+20,3721724291648i</v>
      </c>
      <c r="AX463">
        <f t="shared" si="407"/>
        <v>20.3967009460751</v>
      </c>
      <c r="AY463">
        <f t="shared" si="408"/>
        <v>1.52174912778196</v>
      </c>
      <c r="AZ463" t="str">
        <f t="shared" si="383"/>
        <v>1+973,963222304962i</v>
      </c>
      <c r="BA463">
        <f t="shared" si="409"/>
        <v>973.963735671234</v>
      </c>
      <c r="BB463">
        <f t="shared" si="410"/>
        <v>1.56976959434165</v>
      </c>
      <c r="BC463" s="30" t="str">
        <f t="shared" si="411"/>
        <v>-0,00116071703121659+0,024152716249786i</v>
      </c>
      <c r="BD463" s="32">
        <f t="shared" si="412"/>
        <v>-32.330661884527</v>
      </c>
      <c r="BE463" s="31">
        <f t="shared" si="413"/>
        <v>92.7513700641197</v>
      </c>
      <c r="BF463" s="30" t="str">
        <f t="shared" si="414"/>
        <v>0,013005813665394-0,146315188163723i</v>
      </c>
      <c r="BG463" s="68">
        <f t="shared" si="415"/>
        <v>-16.6600319249539</v>
      </c>
      <c r="BH463" s="31">
        <f t="shared" si="416"/>
        <v>-84.920384695152</v>
      </c>
      <c r="BI463" s="30" t="str">
        <f t="shared" si="423"/>
        <v>0,808522342297186+0,108791121742476i</v>
      </c>
      <c r="BJ463" s="68">
        <f t="shared" si="417"/>
        <v>-1.76823301736528</v>
      </c>
      <c r="BK463" s="31">
        <f t="shared" si="424"/>
        <v>7.66343373182413</v>
      </c>
      <c r="BL463" s="32">
        <f t="shared" si="418"/>
        <v>-16.6600319249539</v>
      </c>
      <c r="BM463" s="31">
        <f t="shared" si="419"/>
        <v>-84.920384695152</v>
      </c>
      <c r="BO463">
        <f t="shared" si="420"/>
        <v>0</v>
      </c>
      <c r="BP463">
        <f t="shared" si="421"/>
        <v>0</v>
      </c>
    </row>
    <row r="464" spans="14:68">
      <c r="N464" s="7">
        <v>46</v>
      </c>
      <c r="O464" s="18">
        <f t="shared" si="422"/>
        <v>288403.150312661</v>
      </c>
      <c r="P464" s="86" t="str">
        <f t="shared" si="372"/>
        <v>54,5454545454545</v>
      </c>
      <c r="Q464" s="4" t="str">
        <f t="shared" si="373"/>
        <v>1+3690,07507087178i</v>
      </c>
      <c r="R464" s="4">
        <f t="shared" si="384"/>
        <v>3690.07520637038</v>
      </c>
      <c r="S464" s="4">
        <f t="shared" si="385"/>
        <v>1.57052532960478</v>
      </c>
      <c r="T464" s="4" t="str">
        <f t="shared" si="374"/>
        <v>1+28,4135780457127i</v>
      </c>
      <c r="U464" s="4">
        <f t="shared" si="386"/>
        <v>28.4311698204595</v>
      </c>
      <c r="V464" s="4">
        <f t="shared" si="387"/>
        <v>1.53561640605154</v>
      </c>
      <c r="W464" t="str">
        <f t="shared" si="375"/>
        <v>1-81,544069646497i</v>
      </c>
      <c r="X464" s="4">
        <f t="shared" si="388"/>
        <v>81.5502010697261</v>
      </c>
      <c r="Y464" s="4">
        <f t="shared" si="389"/>
        <v>-1.55853363400451</v>
      </c>
      <c r="Z464" t="str">
        <f t="shared" si="376"/>
        <v>0,321009166446792+5,63042385654384i</v>
      </c>
      <c r="AA464" s="4">
        <f t="shared" si="390"/>
        <v>5.6395673317446</v>
      </c>
      <c r="AB464" s="4">
        <f t="shared" si="391"/>
        <v>1.51384465922143</v>
      </c>
      <c r="AC464" s="67" t="str">
        <f t="shared" si="392"/>
        <v>-6,07353760049114-0,208437134103138i</v>
      </c>
      <c r="AD464" s="68">
        <f t="shared" si="393"/>
        <v>15.6739465437371</v>
      </c>
      <c r="AE464" s="31">
        <f t="shared" si="394"/>
        <v>-178.034443256399</v>
      </c>
      <c r="AF464" s="32" t="str">
        <f t="shared" si="395"/>
        <v>432,040091031901</v>
      </c>
      <c r="AG464" s="32" t="str">
        <f t="shared" si="377"/>
        <v>1+3006,72783552515i</v>
      </c>
      <c r="AH464" s="32">
        <f t="shared" si="396"/>
        <v>3006.72800181888</v>
      </c>
      <c r="AI464" s="32">
        <f t="shared" si="397"/>
        <v>1.57046373933842</v>
      </c>
      <c r="AJ464" s="32" t="str">
        <f t="shared" si="378"/>
        <v>1+28,4135780457127i</v>
      </c>
      <c r="AK464" s="32">
        <f t="shared" si="398"/>
        <v>28.4311698204595</v>
      </c>
      <c r="AL464" s="32">
        <f t="shared" si="399"/>
        <v>1.53561640605154</v>
      </c>
      <c r="AM464" s="32" t="str">
        <f t="shared" si="379"/>
        <v>1-8,38834874399773i</v>
      </c>
      <c r="AN464" s="32">
        <f t="shared" si="400"/>
        <v>8.44774494471325</v>
      </c>
      <c r="AO464" s="32">
        <f t="shared" si="401"/>
        <v>-1.45214332665283</v>
      </c>
      <c r="AP464" s="30" t="str">
        <f t="shared" si="402"/>
        <v>2,88888548243612-34,3905032375703i</v>
      </c>
      <c r="AQ464" s="32">
        <f t="shared" si="403"/>
        <v>30.7593085844766</v>
      </c>
      <c r="AR464" s="31">
        <f t="shared" si="404"/>
        <v>-85.1982889899184</v>
      </c>
      <c r="AS464" t="str">
        <f t="shared" si="380"/>
        <v>-0,000201496259351621</v>
      </c>
      <c r="AT464" t="str">
        <f t="shared" si="381"/>
        <v>0,407176721101507i</v>
      </c>
      <c r="AU464">
        <f t="shared" si="405"/>
        <v>0.407176721101507</v>
      </c>
      <c r="AV464">
        <f t="shared" si="406"/>
        <v>1.5707963267949</v>
      </c>
      <c r="AW464" t="str">
        <f t="shared" si="382"/>
        <v>1+20,8467012842995i</v>
      </c>
      <c r="AX464">
        <f t="shared" si="407"/>
        <v>20.8706721127235</v>
      </c>
      <c r="AY464">
        <f t="shared" si="408"/>
        <v>1.52286384921763</v>
      </c>
      <c r="AZ464" t="str">
        <f t="shared" si="383"/>
        <v>1+996,64974012385i</v>
      </c>
      <c r="BA464">
        <f t="shared" si="409"/>
        <v>996.650241804485</v>
      </c>
      <c r="BB464">
        <f t="shared" si="410"/>
        <v>1.56979296560975</v>
      </c>
      <c r="BC464" s="30" t="str">
        <f t="shared" si="411"/>
        <v>-0,00110859609196292+0,0236054335072764i</v>
      </c>
      <c r="BD464" s="32">
        <f t="shared" si="412"/>
        <v>-32.5301922267591</v>
      </c>
      <c r="BE464" s="31">
        <f t="shared" si="413"/>
        <v>92.688840305547</v>
      </c>
      <c r="BF464" s="30" t="str">
        <f t="shared" si="414"/>
        <v>0,0116533489578132-0,14313741539005i</v>
      </c>
      <c r="BG464" s="68">
        <f t="shared" si="415"/>
        <v>-16.856245683022</v>
      </c>
      <c r="BH464" s="31">
        <f t="shared" si="416"/>
        <v>-85.3456029508521</v>
      </c>
      <c r="BI464" s="30" t="str">
        <f t="shared" si="423"/>
        <v>0,808600130300282+0,106318571655591i</v>
      </c>
      <c r="BJ464" s="68">
        <f t="shared" si="417"/>
        <v>-1.77088364228253</v>
      </c>
      <c r="BK464" s="31">
        <f t="shared" si="424"/>
        <v>7.49055131562859</v>
      </c>
      <c r="BL464" s="32">
        <f t="shared" si="418"/>
        <v>-16.856245683022</v>
      </c>
      <c r="BM464" s="31">
        <f t="shared" si="419"/>
        <v>-85.3456029508521</v>
      </c>
      <c r="BO464">
        <f t="shared" si="420"/>
        <v>0</v>
      </c>
      <c r="BP464">
        <f t="shared" si="421"/>
        <v>0</v>
      </c>
    </row>
    <row r="465" spans="14:68">
      <c r="N465" s="7">
        <v>47</v>
      </c>
      <c r="O465" s="18">
        <f t="shared" si="422"/>
        <v>295120.922666639</v>
      </c>
      <c r="P465" s="86" t="str">
        <f t="shared" si="372"/>
        <v>54,5454545454545</v>
      </c>
      <c r="Q465" s="4" t="str">
        <f t="shared" si="373"/>
        <v>1+3776,02796101299i</v>
      </c>
      <c r="R465" s="4">
        <f t="shared" si="384"/>
        <v>3776.02809342726</v>
      </c>
      <c r="S465" s="4">
        <f t="shared" si="385"/>
        <v>1.57053149825365</v>
      </c>
      <c r="T465" s="4" t="str">
        <f t="shared" si="374"/>
        <v>1+29,0754152998001i</v>
      </c>
      <c r="U465" s="4">
        <f t="shared" si="386"/>
        <v>29.0926068762469</v>
      </c>
      <c r="V465" s="4">
        <f t="shared" si="387"/>
        <v>1.53641656061776</v>
      </c>
      <c r="W465" t="str">
        <f t="shared" si="375"/>
        <v>1-83,443475031314i</v>
      </c>
      <c r="X465" s="4">
        <f t="shared" si="388"/>
        <v>83.4494668964489</v>
      </c>
      <c r="Y465" s="4">
        <f t="shared" si="389"/>
        <v>-1.55881273993707</v>
      </c>
      <c r="Z465" t="str">
        <f t="shared" si="376"/>
        <v>0,289009314321561+5,76157327597168i</v>
      </c>
      <c r="AA465" s="4">
        <f t="shared" si="390"/>
        <v>5.76881729630569</v>
      </c>
      <c r="AB465" s="4">
        <f t="shared" si="391"/>
        <v>1.52067680803113</v>
      </c>
      <c r="AC465" s="67" t="str">
        <f t="shared" si="392"/>
        <v>-6,07676787334547-0,170122023358835i</v>
      </c>
      <c r="AD465" s="68">
        <f t="shared" si="393"/>
        <v>15.6768553766874</v>
      </c>
      <c r="AE465" s="31">
        <f t="shared" si="394"/>
        <v>-178.396396098115</v>
      </c>
      <c r="AF465" s="32" t="str">
        <f t="shared" si="395"/>
        <v>432,040091031901</v>
      </c>
      <c r="AG465" s="32" t="str">
        <f t="shared" si="377"/>
        <v>1+3076,76352378836i</v>
      </c>
      <c r="AH465" s="32">
        <f t="shared" si="396"/>
        <v>3076.76368629678</v>
      </c>
      <c r="AI465" s="32">
        <f t="shared" si="397"/>
        <v>1.57047130995267</v>
      </c>
      <c r="AJ465" s="32" t="str">
        <f t="shared" si="378"/>
        <v>1+29,0754152998001i</v>
      </c>
      <c r="AK465" s="32">
        <f t="shared" si="398"/>
        <v>29.0926068762469</v>
      </c>
      <c r="AL465" s="32">
        <f t="shared" si="399"/>
        <v>1.53641656061776</v>
      </c>
      <c r="AM465" s="32" t="str">
        <f t="shared" si="379"/>
        <v>1-8,58373848653993i</v>
      </c>
      <c r="AN465" s="32">
        <f t="shared" si="400"/>
        <v>8.6417918515379</v>
      </c>
      <c r="AO465" s="32">
        <f t="shared" si="401"/>
        <v>-1.45481976771631</v>
      </c>
      <c r="AP465" s="30" t="str">
        <f t="shared" si="402"/>
        <v>2,8888833459203-35,1849874100447i</v>
      </c>
      <c r="AQ465" s="32">
        <f t="shared" si="403"/>
        <v>30.9563269558094</v>
      </c>
      <c r="AR465" s="31">
        <f t="shared" si="404"/>
        <v>-85.3062260516132</v>
      </c>
      <c r="AS465" t="str">
        <f t="shared" si="380"/>
        <v>-0,000201496259351621</v>
      </c>
      <c r="AT465" t="str">
        <f t="shared" si="381"/>
        <v>0,416661085323027i</v>
      </c>
      <c r="AU465">
        <f t="shared" si="405"/>
        <v>0.416661085323027</v>
      </c>
      <c r="AV465">
        <f t="shared" si="406"/>
        <v>1.5707963267949</v>
      </c>
      <c r="AW465" t="str">
        <f t="shared" si="382"/>
        <v>1+21,3322833363939i</v>
      </c>
      <c r="AX465">
        <f t="shared" si="407"/>
        <v>21.3557091276358</v>
      </c>
      <c r="AY465">
        <f t="shared" si="408"/>
        <v>1.52395331170193</v>
      </c>
      <c r="AZ465" t="str">
        <f t="shared" si="383"/>
        <v>1+1019,86469482717i</v>
      </c>
      <c r="BA465">
        <f t="shared" si="409"/>
        <v>1019.86518508816</v>
      </c>
      <c r="BB465">
        <f t="shared" si="410"/>
        <v>1.5698158048839</v>
      </c>
      <c r="BC465" s="30" t="str">
        <f t="shared" si="411"/>
        <v>-0,00105881045176182+0,0230704420568596i</v>
      </c>
      <c r="BD465" s="32">
        <f t="shared" si="412"/>
        <v>-32.7297436596137</v>
      </c>
      <c r="BE465" s="31">
        <f t="shared" si="413"/>
        <v>92.6277272972746</v>
      </c>
      <c r="BF465" s="30" t="str">
        <f t="shared" si="414"/>
        <v>0,0103589356197244-0,140013594138595i</v>
      </c>
      <c r="BG465" s="68">
        <f t="shared" si="415"/>
        <v>-17.0528882829263</v>
      </c>
      <c r="BH465" s="31">
        <f t="shared" si="416"/>
        <v>-85.7686688008407</v>
      </c>
      <c r="BI465" s="30" t="str">
        <f t="shared" si="423"/>
        <v>0,80867443343419+0,103902048255944i</v>
      </c>
      <c r="BJ465" s="68">
        <f t="shared" si="417"/>
        <v>-1.77341670380428</v>
      </c>
      <c r="BK465" s="31">
        <f t="shared" si="424"/>
        <v>7.32150124566138</v>
      </c>
      <c r="BL465" s="32">
        <f t="shared" si="418"/>
        <v>-17.0528882829263</v>
      </c>
      <c r="BM465" s="31">
        <f t="shared" si="419"/>
        <v>-85.7686688008407</v>
      </c>
      <c r="BO465">
        <f t="shared" si="420"/>
        <v>0</v>
      </c>
      <c r="BP465">
        <f t="shared" si="421"/>
        <v>0</v>
      </c>
    </row>
    <row r="466" spans="14:68">
      <c r="N466" s="7">
        <v>48</v>
      </c>
      <c r="O466" s="18">
        <f t="shared" si="422"/>
        <v>301995.172040202</v>
      </c>
      <c r="P466" s="86" t="str">
        <f t="shared" si="372"/>
        <v>54,5454545454545</v>
      </c>
      <c r="Q466" s="4" t="str">
        <f t="shared" si="373"/>
        <v>1+3863,98295116078i</v>
      </c>
      <c r="R466" s="4">
        <f t="shared" si="384"/>
        <v>3863.98308056093</v>
      </c>
      <c r="S466" s="4">
        <f t="shared" si="385"/>
        <v>1.57053752648695</v>
      </c>
      <c r="T466" s="4" t="str">
        <f t="shared" si="374"/>
        <v>1+29,752668723938i</v>
      </c>
      <c r="U466" s="4">
        <f t="shared" si="386"/>
        <v>29.7694691957448</v>
      </c>
      <c r="V466" s="4">
        <f t="shared" si="387"/>
        <v>1.53719854400035</v>
      </c>
      <c r="W466" t="str">
        <f t="shared" si="375"/>
        <v>1-85,3871232510977i</v>
      </c>
      <c r="X466" s="4">
        <f t="shared" si="388"/>
        <v>85.3929787341919</v>
      </c>
      <c r="Y466" s="4">
        <f t="shared" si="389"/>
        <v>-1.55908549444714</v>
      </c>
      <c r="Z466" t="str">
        <f t="shared" si="376"/>
        <v>0,255501355627822+5,89577755781389i</v>
      </c>
      <c r="AA466" s="4">
        <f t="shared" si="390"/>
        <v>5.90131120632945</v>
      </c>
      <c r="AB466" s="4">
        <f t="shared" si="391"/>
        <v>1.52748709640416</v>
      </c>
      <c r="AC466" s="67" t="str">
        <f t="shared" si="392"/>
        <v>-6,07947396971893-0,131830220117992i</v>
      </c>
      <c r="AD466" s="68">
        <f t="shared" si="393"/>
        <v>15.6793617106772</v>
      </c>
      <c r="AE466" s="31">
        <f t="shared" si="394"/>
        <v>-178.757765606282</v>
      </c>
      <c r="AF466" s="32" t="str">
        <f t="shared" si="395"/>
        <v>432,040091031901</v>
      </c>
      <c r="AG466" s="32" t="str">
        <f t="shared" si="377"/>
        <v>1+3148,43055279767i</v>
      </c>
      <c r="AH466" s="32">
        <f t="shared" si="396"/>
        <v>3148.43071160695</v>
      </c>
      <c r="AI466" s="32">
        <f t="shared" si="397"/>
        <v>1.57047870823873</v>
      </c>
      <c r="AJ466" s="32" t="str">
        <f t="shared" si="378"/>
        <v>1+29,752668723938i</v>
      </c>
      <c r="AK466" s="32">
        <f t="shared" si="398"/>
        <v>29.7694691957448</v>
      </c>
      <c r="AL466" s="32">
        <f t="shared" si="399"/>
        <v>1.53719854400035</v>
      </c>
      <c r="AM466" s="32" t="str">
        <f t="shared" si="379"/>
        <v>1-8,78367944084692i</v>
      </c>
      <c r="AN466" s="32">
        <f t="shared" si="400"/>
        <v>8.84041992891496</v>
      </c>
      <c r="AO466" s="32">
        <f t="shared" si="401"/>
        <v>-1.45743689930808</v>
      </c>
      <c r="AP466" s="30" t="str">
        <f t="shared" si="402"/>
        <v>2,8888813055635-35,9981271285097i</v>
      </c>
      <c r="AQ466" s="32">
        <f t="shared" si="403"/>
        <v>31.153477895445</v>
      </c>
      <c r="AR466" s="31">
        <f t="shared" si="404"/>
        <v>-85.4117961893473</v>
      </c>
      <c r="AS466" t="str">
        <f t="shared" si="380"/>
        <v>-0,000201496259351621</v>
      </c>
      <c r="AT466" t="str">
        <f t="shared" si="381"/>
        <v>0,426366368767147i</v>
      </c>
      <c r="AU466">
        <f t="shared" si="405"/>
        <v>0.426366368767147</v>
      </c>
      <c r="AV466">
        <f t="shared" si="406"/>
        <v>1.5707963267949</v>
      </c>
      <c r="AW466" t="str">
        <f t="shared" si="382"/>
        <v>1+21,8291760474794i</v>
      </c>
      <c r="AX466">
        <f t="shared" si="407"/>
        <v>21.8520691677436</v>
      </c>
      <c r="AY466">
        <f t="shared" si="408"/>
        <v>1.52501808253149</v>
      </c>
      <c r="AZ466" t="str">
        <f t="shared" si="383"/>
        <v>1+1043,62039529119i</v>
      </c>
      <c r="BA466">
        <f t="shared" si="409"/>
        <v>1043.62087439249</v>
      </c>
      <c r="BB466">
        <f t="shared" si="410"/>
        <v>1.56983812427369</v>
      </c>
      <c r="BC466" s="30" t="str">
        <f t="shared" si="411"/>
        <v>-0,00101125592835656+0,022547473166447i</v>
      </c>
      <c r="BD466" s="32">
        <f t="shared" si="412"/>
        <v>-32.9293152380233</v>
      </c>
      <c r="BE466" s="31">
        <f t="shared" si="413"/>
        <v>92.5679992294282</v>
      </c>
      <c r="BF466" s="30" t="str">
        <f t="shared" si="414"/>
        <v>0,00912034244380488-0,13694346210672i</v>
      </c>
      <c r="BG466" s="68">
        <f t="shared" si="415"/>
        <v>-17.2499535273461</v>
      </c>
      <c r="BH466" s="31">
        <f t="shared" si="416"/>
        <v>-86.1897663768536</v>
      </c>
      <c r="BI466" s="30" t="str">
        <f t="shared" si="423"/>
        <v>0,808745407125851+0,101540293186682i</v>
      </c>
      <c r="BJ466" s="68">
        <f t="shared" si="417"/>
        <v>-1.77583734257822</v>
      </c>
      <c r="BK466" s="31">
        <f t="shared" si="424"/>
        <v>7.15620304008092</v>
      </c>
      <c r="BL466" s="32">
        <f t="shared" si="418"/>
        <v>-17.2499535273461</v>
      </c>
      <c r="BM466" s="31">
        <f t="shared" si="419"/>
        <v>-86.1897663768536</v>
      </c>
      <c r="BO466">
        <f t="shared" si="420"/>
        <v>0</v>
      </c>
      <c r="BP466">
        <f t="shared" si="421"/>
        <v>0</v>
      </c>
    </row>
    <row r="467" spans="14:68">
      <c r="N467" s="7">
        <v>49</v>
      </c>
      <c r="O467" s="18">
        <f t="shared" si="422"/>
        <v>309029.543251359</v>
      </c>
      <c r="P467" s="86" t="str">
        <f t="shared" ref="P467:P530" si="425">COMPLEX(Adc,0)</f>
        <v>54,5454545454545</v>
      </c>
      <c r="Q467" s="4" t="str">
        <f t="shared" ref="Q467:Q530" si="426">IMSUM(COMPLEX(1,0),IMDIV(COMPLEX(0,2*PI()*O467),COMPLEX(wp_lf,0)))</f>
        <v>1+3953,98667621513i</v>
      </c>
      <c r="R467" s="4">
        <f t="shared" si="384"/>
        <v>3953.98680266978</v>
      </c>
      <c r="S467" s="4">
        <f t="shared" si="385"/>
        <v>1.57054341750092</v>
      </c>
      <c r="T467" s="4" t="str">
        <f t="shared" ref="T467:T530" si="427">IMSUM(COMPLEX(1,0),IMDIV(COMPLEX(0,2*PI()*O467),COMPLEX(wz_esr,0)))</f>
        <v>1+30,4456974068565i</v>
      </c>
      <c r="U467" s="4">
        <f t="shared" si="386"/>
        <v>30.4621156617506</v>
      </c>
      <c r="V467" s="4">
        <f t="shared" si="387"/>
        <v>1.53796276698962</v>
      </c>
      <c r="W467" t="str">
        <f t="shared" ref="W467:W530" si="428">IMSUB(COMPLEX(1,0),IMDIV(COMPLEX(0,2*PI()*O467),COMPLEX(wz_rhp,0)))</f>
        <v>1-87,3760448538613i</v>
      </c>
      <c r="X467" s="4">
        <f t="shared" si="388"/>
        <v>87.3817670587176</v>
      </c>
      <c r="Y467" s="4">
        <f t="shared" si="389"/>
        <v>-1.55935204199037</v>
      </c>
      <c r="Z467" t="str">
        <f t="shared" ref="Z467:Z530" si="429">IMSUM(COMPLEX(1,0),IMDIV(COMPLEX(0,2*PI()*O467),COMPLEX(Q*(wsl/2),0)),IMDIV(IMPOWER(COMPLEX(0,2*PI()*O467),2),IMPOWER(COMPLEX(wsl/2,0),2)))</f>
        <v>0,220414215492699+6,03310785895708i</v>
      </c>
      <c r="AA467" s="4">
        <f t="shared" si="390"/>
        <v>6.03713283473214</v>
      </c>
      <c r="AB467" s="4">
        <f t="shared" si="391"/>
        <v>1.53427846008307</v>
      </c>
      <c r="AC467" s="67" t="str">
        <f t="shared" si="392"/>
        <v>-6,08165985730625-0,0935524351986533i</v>
      </c>
      <c r="AD467" s="68">
        <f t="shared" si="393"/>
        <v>15.6814700747491</v>
      </c>
      <c r="AE467" s="31">
        <f t="shared" si="394"/>
        <v>-179.118704909834</v>
      </c>
      <c r="AF467" s="32" t="str">
        <f t="shared" si="395"/>
        <v>432,040091031901</v>
      </c>
      <c r="AG467" s="32" t="str">
        <f t="shared" ref="AG467:AG530" si="430">IMSUM(COMPLEX(1,0),IMDIV(COMPLEX(0,2*PI()*O467),COMPLEX(wp_lf_DCM,0)))</f>
        <v>1+3221,76692136048i</v>
      </c>
      <c r="AH467" s="32">
        <f t="shared" si="396"/>
        <v>3221.76707655482</v>
      </c>
      <c r="AI467" s="32">
        <f t="shared" si="397"/>
        <v>1.57048593811927</v>
      </c>
      <c r="AJ467" s="32" t="str">
        <f t="shared" ref="AJ467:AJ530" si="431">IMSUM(COMPLEX(1,0),IMDIV(COMPLEX(0,2*PI()*O467),COMPLEX(wz1_dcm,0)))</f>
        <v>1+30,4456974068565i</v>
      </c>
      <c r="AK467" s="32">
        <f t="shared" si="398"/>
        <v>30.4621156617506</v>
      </c>
      <c r="AL467" s="32">
        <f t="shared" si="399"/>
        <v>1.53796276698962</v>
      </c>
      <c r="AM467" s="32" t="str">
        <f t="shared" ref="AM467:AM530" si="432">IMSUB(COMPLEX(1,0),IMDIV(COMPLEX(0,2*PI()*O467),COMPLEX(wz2_dcm,0)))</f>
        <v>1-8,98827761825918i</v>
      </c>
      <c r="AN467" s="32">
        <f t="shared" si="400"/>
        <v>9.04373454624244</v>
      </c>
      <c r="AO467" s="32">
        <f t="shared" si="401"/>
        <v>-1.4599959655827</v>
      </c>
      <c r="AP467" s="30" t="str">
        <f t="shared" si="402"/>
        <v>2,88887935703786-36,8303535304112i</v>
      </c>
      <c r="AQ467" s="32">
        <f t="shared" si="403"/>
        <v>31.3507555782147</v>
      </c>
      <c r="AR467" s="31">
        <f t="shared" si="404"/>
        <v>-85.5150473761273</v>
      </c>
      <c r="AS467" t="str">
        <f t="shared" ref="AS467:AS530" si="433">COMPLEX(Adc_ea,0)</f>
        <v>-0,000201496259351621</v>
      </c>
      <c r="AT467" t="str">
        <f t="shared" ref="AT467:AT530" si="434">COMPLEX(0,2*PI()*O467*wp0_ea)</f>
        <v>0,436297717303613i</v>
      </c>
      <c r="AU467">
        <f t="shared" si="405"/>
        <v>0.436297717303613</v>
      </c>
      <c r="AV467">
        <f t="shared" si="406"/>
        <v>1.5707963267949</v>
      </c>
      <c r="AW467" t="str">
        <f t="shared" ref="AW467:AW530" si="435">IMSUM(COMPLEX(1,0),IMDIV(COMPLEX(0,2*PI()*O467),COMPLEX(wp1_ea,0)))</f>
        <v>1+22,3376428766485i</v>
      </c>
      <c r="AX467">
        <f t="shared" si="407"/>
        <v>22.3600154133374</v>
      </c>
      <c r="AY467">
        <f t="shared" si="408"/>
        <v>1.52605871659905</v>
      </c>
      <c r="AZ467" t="str">
        <f t="shared" ref="AZ467:AZ530" si="436">IMSUM(COMPLEX(1,0),IMDIV(COMPLEX(0,2*PI()*O467),COMPLEX(wz_ea,0)))</f>
        <v>1+1067,92943710275i</v>
      </c>
      <c r="BA467">
        <f t="shared" si="409"/>
        <v>1067.92990529837</v>
      </c>
      <c r="BB467">
        <f t="shared" si="410"/>
        <v>1.56985993561306</v>
      </c>
      <c r="BC467" s="30" t="str">
        <f t="shared" si="411"/>
        <v>-0,000965832947588495+0,0220362634891767i</v>
      </c>
      <c r="BD467" s="32">
        <f t="shared" si="412"/>
        <v>-33.1289060590898</v>
      </c>
      <c r="BE467" s="31">
        <f t="shared" si="413"/>
        <v>92.5096249870311</v>
      </c>
      <c r="BF467" s="30" t="str">
        <f t="shared" si="414"/>
        <v>0,00793541357830438-0,133926703042907i</v>
      </c>
      <c r="BG467" s="68">
        <f t="shared" si="415"/>
        <v>-17.4474359843408</v>
      </c>
      <c r="BH467" s="31">
        <f t="shared" si="416"/>
        <v>-86.6090799228033</v>
      </c>
      <c r="BI467" s="30" t="str">
        <f t="shared" si="423"/>
        <v>0,808813199931035+0,099232075611133i</v>
      </c>
      <c r="BJ467" s="68">
        <f t="shared" si="417"/>
        <v>-1.77815048087517</v>
      </c>
      <c r="BK467" s="31">
        <f t="shared" si="424"/>
        <v>6.99457761090382</v>
      </c>
      <c r="BL467" s="32">
        <f t="shared" si="418"/>
        <v>-17.4474359843408</v>
      </c>
      <c r="BM467" s="31">
        <f t="shared" si="419"/>
        <v>-86.6090799228033</v>
      </c>
      <c r="BO467">
        <f t="shared" si="420"/>
        <v>0</v>
      </c>
      <c r="BP467">
        <f t="shared" si="421"/>
        <v>0</v>
      </c>
    </row>
    <row r="468" spans="14:68">
      <c r="N468" s="7">
        <v>50</v>
      </c>
      <c r="O468" s="18">
        <f t="shared" si="422"/>
        <v>316227.766016838</v>
      </c>
      <c r="P468" s="86" t="str">
        <f t="shared" si="425"/>
        <v>54,5454545454545</v>
      </c>
      <c r="Q468" s="4" t="str">
        <f t="shared" si="426"/>
        <v>1+4046,08685734241i</v>
      </c>
      <c r="R468" s="4">
        <f t="shared" ref="R468:R531" si="437">IMABS(Q468)</f>
        <v>4046.0869809186</v>
      </c>
      <c r="S468" s="4">
        <f t="shared" ref="S468:S531" si="438">IMARGUMENT(Q468)</f>
        <v>1.57054917441906</v>
      </c>
      <c r="T468" s="4" t="str">
        <f t="shared" si="427"/>
        <v>1+31,1548688015366i</v>
      </c>
      <c r="U468" s="4">
        <f t="shared" ref="U468:U531" si="439">IMABS(T468)</f>
        <v>31.1709135259292</v>
      </c>
      <c r="V468" s="4">
        <f t="shared" ref="V468:V531" si="440">IMARGUMENT(T468)</f>
        <v>1.53870963121399</v>
      </c>
      <c r="W468" t="str">
        <f t="shared" si="428"/>
        <v>1-89,411294392165i</v>
      </c>
      <c r="X468" s="4">
        <f t="shared" ref="X468:X531" si="441">IMABS(W468)</f>
        <v>89.4168863519771</v>
      </c>
      <c r="Y468" s="4">
        <f t="shared" ref="Y468:Y531" si="442">IMARGUMENT(W468)</f>
        <v>-1.5596125237422</v>
      </c>
      <c r="Z468" t="str">
        <f t="shared" si="429"/>
        <v>0,183673469387751+6,17363699374472i</v>
      </c>
      <c r="AA468" s="4">
        <f t="shared" ref="AA468:AA531" si="443">IMABS(Z468)</f>
        <v>6.17636864782942</v>
      </c>
      <c r="AB468" s="4">
        <f t="shared" ref="AB468:AB531" si="444">IMARGUMENT(Z468)</f>
        <v>1.54105384173271</v>
      </c>
      <c r="AC468" s="67" t="str">
        <f t="shared" ref="AC468:AC531" si="445">(IMDIV(IMPRODUCT(P468,T468,W468),IMPRODUCT(Q468,Z468)))</f>
        <v>-6,08332871070069-0,0552791776526342i</v>
      </c>
      <c r="AD468" s="68">
        <f t="shared" ref="AD468:AD531" si="446">20*LOG(IMABS(AC468))</f>
        <v>15.6831842784333</v>
      </c>
      <c r="AE468" s="31">
        <f t="shared" ref="AE468:AE531" si="447">(180/PI())*IMARGUMENT(AC468)</f>
        <v>-179.479367867156</v>
      </c>
      <c r="AF468" s="32" t="str">
        <f t="shared" ref="AF468:AF531" si="448">COMPLEX($B$68,0)</f>
        <v>432,040091031901</v>
      </c>
      <c r="AG468" s="32" t="str">
        <f t="shared" si="430"/>
        <v>1+3296,81151339011i</v>
      </c>
      <c r="AH468" s="32">
        <f t="shared" ref="AH468:AH531" si="449">IMABS(AG468)</f>
        <v>3296.81166505179</v>
      </c>
      <c r="AI468" s="32">
        <f t="shared" ref="AI468:AI531" si="450">IMARGUMENT(AG468)</f>
        <v>1.57049300342768</v>
      </c>
      <c r="AJ468" s="32" t="str">
        <f t="shared" si="431"/>
        <v>1+31,1548688015366i</v>
      </c>
      <c r="AK468" s="32">
        <f t="shared" ref="AK468:AK531" si="451">IMABS(AJ468)</f>
        <v>31.1709135259292</v>
      </c>
      <c r="AL468" s="32">
        <f t="shared" ref="AL468:AL531" si="452">IMARGUMENT(AJ468)</f>
        <v>1.53870963121399</v>
      </c>
      <c r="AM468" s="32" t="str">
        <f t="shared" si="432"/>
        <v>1-9,19764149943855i</v>
      </c>
      <c r="AN468" s="32">
        <f t="shared" ref="AN468:AN531" si="453">IMABS(AM468)</f>
        <v>9.25184355424335</v>
      </c>
      <c r="AO468" s="32">
        <f t="shared" ref="AO468:AO531" si="454">IMARGUMENT(AM468)</f>
        <v>-1.46249818924744</v>
      </c>
      <c r="AP468" s="30" t="str">
        <f t="shared" ref="AP468:AP531" si="455">(IMDIV(IMPRODUCT(AF468,AJ468,AM468),IMPRODUCT(AG468)))</f>
        <v>2,88887749621032-37,6821078732079i</v>
      </c>
      <c r="AQ468" s="32">
        <f t="shared" ref="AQ468:AQ531" si="456">20*LOG(IMABS(AP468))</f>
        <v>31.5481544289117</v>
      </c>
      <c r="AR468" s="31">
        <f t="shared" ref="AR468:AR531" si="457">(180/PI())*IMARGUMENT(AP468)</f>
        <v>-85.6160268759413</v>
      </c>
      <c r="AS468" t="str">
        <f t="shared" si="433"/>
        <v>-0,000201496259351621</v>
      </c>
      <c r="AT468" t="str">
        <f t="shared" si="434"/>
        <v>0,446460396664877i</v>
      </c>
      <c r="AU468">
        <f t="shared" ref="AU468:AU531" si="458">IMABS(AT468)</f>
        <v>0.446460396664877</v>
      </c>
      <c r="AV468">
        <f t="shared" ref="AV468:AV531" si="459">IMARGUMENT(AT468)</f>
        <v>1.5707963267949</v>
      </c>
      <c r="AW468" t="str">
        <f t="shared" si="435"/>
        <v>1+22,8579534197445i</v>
      </c>
      <c r="AX468">
        <f t="shared" ref="AX468:AX531" si="460">IMABS(AW468)</f>
        <v>22.8798171876265</v>
      </c>
      <c r="AY468">
        <f t="shared" ref="AY468:AY531" si="461">IMARGUMENT(AW468)</f>
        <v>1.52707575664205</v>
      </c>
      <c r="AZ468" t="str">
        <f t="shared" si="436"/>
        <v>1+1092,80470923757i</v>
      </c>
      <c r="BA468">
        <f t="shared" ref="BA468:BA531" si="462">IMABS(AZ468)</f>
        <v>1092.80516677577</v>
      </c>
      <c r="BB468">
        <f t="shared" ref="BB468:BB531" si="463">IMARGUMENT(AZ468)</f>
        <v>1.5698812504666</v>
      </c>
      <c r="BC468" s="30" t="str">
        <f t="shared" ref="BC468:BC531" si="464">IMPRODUCT(AS468,IMDIV(AZ468,IMPRODUCT(AT468,AW468)))</f>
        <v>-0,000922446343065395+0,0215365549890504i</v>
      </c>
      <c r="BD468" s="32">
        <f t="shared" ref="BD468:BD531" si="465">20*LOG(IMABS(BC468))</f>
        <v>-33.3285152602193</v>
      </c>
      <c r="BE468" s="31">
        <f t="shared" ref="BE468:BE531" si="466">(180/PI())*IMARGUMENT(BC468)</f>
        <v>92.4525741361198</v>
      </c>
      <c r="BF468" s="30" t="str">
        <f t="shared" ref="BF468:BF531" si="467">IMPRODUCT(AC468,BC468)</f>
        <v>0,00680206737211602-0,130962951219201i</v>
      </c>
      <c r="BG468" s="68">
        <f t="shared" ref="BG468:BG531" si="468">20*LOG(IMABS(BF468))</f>
        <v>-17.6453309817859</v>
      </c>
      <c r="BH468" s="31">
        <f t="shared" ref="BH468:BH531" si="469">(180/PI())*IMARGUMENT(BF468)</f>
        <v>-87.0267937310358</v>
      </c>
      <c r="BI468" s="30" t="str">
        <f t="shared" si="423"/>
        <v>0,808877953832728+0,0969761916604002i</v>
      </c>
      <c r="BJ468" s="68">
        <f t="shared" ref="BJ468:BJ531" si="470">20*LOG(IMABS(BI468))</f>
        <v>-1.78036083130758</v>
      </c>
      <c r="BK468" s="31">
        <f t="shared" si="424"/>
        <v>6.83654726017854</v>
      </c>
      <c r="BL468" s="32">
        <f t="shared" ref="BL468:BL531" si="471">IF($B$31=0,BJ468,BG468)</f>
        <v>-17.6453309817859</v>
      </c>
      <c r="BM468" s="31">
        <f t="shared" ref="BM468:BM531" si="472">IF($B$31=0,BK468,BH468)</f>
        <v>-87.0267937310358</v>
      </c>
      <c r="BO468">
        <f t="shared" ref="BO468:BO531" si="473">SUM((BL469&lt;0)*(BL468&gt;0))*O468</f>
        <v>0</v>
      </c>
      <c r="BP468">
        <f t="shared" ref="BP468:BP531" si="474">IF(BO468&gt;0,BM468,0)</f>
        <v>0</v>
      </c>
    </row>
    <row r="469" spans="14:68">
      <c r="N469" s="7">
        <v>51</v>
      </c>
      <c r="O469" s="18">
        <f t="shared" si="422"/>
        <v>323593.656929628</v>
      </c>
      <c r="P469" s="86" t="str">
        <f t="shared" si="425"/>
        <v>54,5454545454545</v>
      </c>
      <c r="Q469" s="4" t="str">
        <f t="shared" si="426"/>
        <v>1+4140,33232727774i</v>
      </c>
      <c r="R469" s="4">
        <f t="shared" si="437"/>
        <v>4140.33244804099</v>
      </c>
      <c r="S469" s="4">
        <f t="shared" si="438"/>
        <v>1.57055480029376</v>
      </c>
      <c r="T469" s="4" t="str">
        <f t="shared" si="427"/>
        <v>1+31,8805589200387i</v>
      </c>
      <c r="U469" s="4">
        <f t="shared" si="439"/>
        <v>31.8962386035416</v>
      </c>
      <c r="V469" s="4">
        <f t="shared" si="440"/>
        <v>1.53943952933601</v>
      </c>
      <c r="W469" t="str">
        <f t="shared" si="428"/>
        <v>1-91,4939509822538i</v>
      </c>
      <c r="X469" s="4">
        <f t="shared" si="441"/>
        <v>91.499415661211</v>
      </c>
      <c r="Y469" s="4">
        <f t="shared" si="442"/>
        <v>-1.55986707767203</v>
      </c>
      <c r="Z469" t="str">
        <f t="shared" si="429"/>
        <v>0,145201185264569+6,31743947258419i</v>
      </c>
      <c r="AA469" s="4">
        <f t="shared" si="443"/>
        <v>6.31910791757563</v>
      </c>
      <c r="AB469" s="4">
        <f t="shared" si="444"/>
        <v>1.54781618976472</v>
      </c>
      <c r="AC469" s="67" t="str">
        <f t="shared" si="445"/>
        <v>-6,08448290792611-0,0170007903907989i</v>
      </c>
      <c r="AD469" s="68">
        <f t="shared" si="446"/>
        <v>15.6845074148418</v>
      </c>
      <c r="AE469" s="31">
        <f t="shared" si="447"/>
        <v>-179.839908991836</v>
      </c>
      <c r="AF469" s="32" t="str">
        <f t="shared" si="448"/>
        <v>432,040091031901</v>
      </c>
      <c r="AG469" s="32" t="str">
        <f t="shared" si="430"/>
        <v>1+3373,6041185226i</v>
      </c>
      <c r="AH469" s="32">
        <f t="shared" si="449"/>
        <v>3373.60426673204</v>
      </c>
      <c r="AI469" s="32">
        <f t="shared" si="450"/>
        <v>1.57049990791005</v>
      </c>
      <c r="AJ469" s="32" t="str">
        <f t="shared" si="431"/>
        <v>1+31,8805589200387i</v>
      </c>
      <c r="AK469" s="32">
        <f t="shared" si="451"/>
        <v>31.8962386035416</v>
      </c>
      <c r="AL469" s="32">
        <f t="shared" si="452"/>
        <v>1.53943952933601</v>
      </c>
      <c r="AM469" s="32" t="str">
        <f t="shared" si="432"/>
        <v>1-9,41188209188611i</v>
      </c>
      <c r="AN469" s="32">
        <f t="shared" si="453"/>
        <v>9.46485734237798</v>
      </c>
      <c r="AO469" s="32">
        <f t="shared" si="454"/>
        <v>-1.46494477161248</v>
      </c>
      <c r="AP469" s="30" t="str">
        <f t="shared" si="455"/>
        <v>2,8888757191338-38,5538417683294i</v>
      </c>
      <c r="AQ469" s="32">
        <f t="shared" si="456"/>
        <v>31.7456691120868</v>
      </c>
      <c r="AR469" s="31">
        <f t="shared" si="457"/>
        <v>-85.7147812355226</v>
      </c>
      <c r="AS469" t="str">
        <f t="shared" si="433"/>
        <v>-0,000201496259351621</v>
      </c>
      <c r="AT469" t="str">
        <f t="shared" si="434"/>
        <v>0,456859795238054i</v>
      </c>
      <c r="AU469">
        <f t="shared" si="458"/>
        <v>0.456859795238054</v>
      </c>
      <c r="AV469">
        <f t="shared" si="459"/>
        <v>1.5707963267949</v>
      </c>
      <c r="AW469" t="str">
        <f t="shared" si="435"/>
        <v>1+23,3903835523044i</v>
      </c>
      <c r="AX469">
        <f t="shared" si="460"/>
        <v>23.4117500995528</v>
      </c>
      <c r="AY469">
        <f t="shared" si="461"/>
        <v>1.52806973348782</v>
      </c>
      <c r="AZ469" t="str">
        <f t="shared" si="436"/>
        <v>1+1118,25940089421i</v>
      </c>
      <c r="BA469">
        <f t="shared" si="462"/>
        <v>1118.25984801757</v>
      </c>
      <c r="BB469">
        <f t="shared" si="463"/>
        <v>1.56990208013563</v>
      </c>
      <c r="BC469" s="30" t="str">
        <f t="shared" si="464"/>
        <v>-0,000881005164230743+0,0210480948651145i</v>
      </c>
      <c r="BD469" s="32">
        <f t="shared" si="465"/>
        <v>-33.5281420173361</v>
      </c>
      <c r="BE469" s="31">
        <f t="shared" si="466"/>
        <v>92.3968169100477</v>
      </c>
      <c r="BF469" s="30" t="str">
        <f t="shared" si="467"/>
        <v>0,00571829511248405-0,128051795667066i</v>
      </c>
      <c r="BG469" s="68">
        <f t="shared" si="468"/>
        <v>-17.8436346024943</v>
      </c>
      <c r="BH469" s="31">
        <f t="shared" si="469"/>
        <v>-87.443092081788</v>
      </c>
      <c r="BI469" s="30" t="str">
        <f t="shared" si="423"/>
        <v>0,808939804527033+0,0947714638886872i</v>
      </c>
      <c r="BJ469" s="68">
        <f t="shared" si="470"/>
        <v>-1.78247290524929</v>
      </c>
      <c r="BK469" s="31">
        <f t="shared" si="424"/>
        <v>6.68203567452513</v>
      </c>
      <c r="BL469" s="32">
        <f t="shared" si="471"/>
        <v>-17.8436346024943</v>
      </c>
      <c r="BM469" s="31">
        <f t="shared" si="472"/>
        <v>-87.443092081788</v>
      </c>
      <c r="BO469">
        <f t="shared" si="473"/>
        <v>0</v>
      </c>
      <c r="BP469">
        <f t="shared" si="474"/>
        <v>0</v>
      </c>
    </row>
    <row r="470" spans="14:68">
      <c r="N470" s="7">
        <v>52</v>
      </c>
      <c r="O470" s="18">
        <f t="shared" si="422"/>
        <v>331131.121482591</v>
      </c>
      <c r="P470" s="86" t="str">
        <f t="shared" si="425"/>
        <v>54,5454545454545</v>
      </c>
      <c r="Q470" s="4" t="str">
        <f t="shared" si="426"/>
        <v>1+4236,77305621677i</v>
      </c>
      <c r="R470" s="4">
        <f t="shared" si="437"/>
        <v>4236.77317423111</v>
      </c>
      <c r="S470" s="4">
        <f t="shared" si="438"/>
        <v>1.57056029810793</v>
      </c>
      <c r="T470" s="4" t="str">
        <f t="shared" si="427"/>
        <v>1+32,6231525328692i</v>
      </c>
      <c r="U470" s="4">
        <f t="shared" si="439"/>
        <v>32.6384754727124</v>
      </c>
      <c r="V470" s="4">
        <f t="shared" si="440"/>
        <v>1.54015284524472</v>
      </c>
      <c r="W470" t="str">
        <f t="shared" si="428"/>
        <v>1-93,625118876219i</v>
      </c>
      <c r="X470" s="4">
        <f t="shared" si="441"/>
        <v>93.6304591710739</v>
      </c>
      <c r="Y470" s="4">
        <f t="shared" si="442"/>
        <v>-1.56011583861568</v>
      </c>
      <c r="Z470" t="str">
        <f t="shared" si="429"/>
        <v>0,104915758250461+6,46459154145322i</v>
      </c>
      <c r="AA470" s="4">
        <f t="shared" si="443"/>
        <v>6.46544283975644</v>
      </c>
      <c r="AB470" s="4">
        <f t="shared" si="444"/>
        <v>1.55456845721031</v>
      </c>
      <c r="AC470" s="67" t="str">
        <f t="shared" si="445"/>
        <v>-6,0851240273697+0,0212925145630461i</v>
      </c>
      <c r="AD470" s="68">
        <f t="shared" si="446"/>
        <v>15.6854418631357</v>
      </c>
      <c r="AE470" s="31">
        <f t="shared" si="447"/>
        <v>179.799516618689</v>
      </c>
      <c r="AF470" s="32" t="str">
        <f t="shared" si="448"/>
        <v>432,040091031901</v>
      </c>
      <c r="AG470" s="32" t="str">
        <f t="shared" si="430"/>
        <v>1+3452,18545321367i</v>
      </c>
      <c r="AH470" s="32">
        <f t="shared" si="449"/>
        <v>3452.18559804945</v>
      </c>
      <c r="AI470" s="32">
        <f t="shared" si="450"/>
        <v>1.57050665522725</v>
      </c>
      <c r="AJ470" s="32" t="str">
        <f t="shared" si="431"/>
        <v>1+32,6231525328692i</v>
      </c>
      <c r="AK470" s="32">
        <f t="shared" si="451"/>
        <v>32.6384754727124</v>
      </c>
      <c r="AL470" s="32">
        <f t="shared" si="452"/>
        <v>1.54015284524472</v>
      </c>
      <c r="AM470" s="32" t="str">
        <f t="shared" si="432"/>
        <v>1-9,63111298879977i</v>
      </c>
      <c r="AN470" s="32">
        <f t="shared" si="453"/>
        <v>9.68288889758773</v>
      </c>
      <c r="AO470" s="32">
        <f t="shared" si="454"/>
        <v>-1.46733689266703</v>
      </c>
      <c r="AP470" s="30" t="str">
        <f t="shared" si="455"/>
        <v>2,88887402203887-39,4460174206297i</v>
      </c>
      <c r="AQ470" s="32">
        <f t="shared" si="456"/>
        <v>31.9432945222153</v>
      </c>
      <c r="AR470" s="31">
        <f t="shared" si="457"/>
        <v>-85.8113562778027</v>
      </c>
      <c r="AS470" t="str">
        <f t="shared" si="433"/>
        <v>-0,000201496259351621</v>
      </c>
      <c r="AT470" t="str">
        <f t="shared" si="434"/>
        <v>0,467501426921921i</v>
      </c>
      <c r="AU470">
        <f t="shared" si="458"/>
        <v>0.467501426921921</v>
      </c>
      <c r="AV470">
        <f t="shared" si="459"/>
        <v>1.5707963267949</v>
      </c>
      <c r="AW470" t="str">
        <f t="shared" si="435"/>
        <v>1+23,9352155758321i</v>
      </c>
      <c r="AX470">
        <f t="shared" si="460"/>
        <v>23.9560961899379</v>
      </c>
      <c r="AY470">
        <f t="shared" si="461"/>
        <v>1.52904116629526</v>
      </c>
      <c r="AZ470" t="str">
        <f t="shared" si="436"/>
        <v>1+1144,30700848712i</v>
      </c>
      <c r="BA470">
        <f t="shared" si="462"/>
        <v>1144.30744543271</v>
      </c>
      <c r="BB470">
        <f t="shared" si="463"/>
        <v>1.56992243566426</v>
      </c>
      <c r="BC470" s="30" t="str">
        <f t="shared" si="464"/>
        <v>-0,000841422492509093+0,0205706354744173i</v>
      </c>
      <c r="BD470" s="32">
        <f t="shared" si="465"/>
        <v>-33.7277855431768</v>
      </c>
      <c r="BE470" s="31">
        <f t="shared" si="466"/>
        <v>92.3423241959813</v>
      </c>
      <c r="BF470" s="30" t="str">
        <f t="shared" si="467"/>
        <v>0,00468215967092624-0,125192784184316i</v>
      </c>
      <c r="BG470" s="68">
        <f t="shared" si="468"/>
        <v>-18.0423436800411</v>
      </c>
      <c r="BH470" s="31">
        <f t="shared" si="469"/>
        <v>-87.8581591853301</v>
      </c>
      <c r="BI470" s="30" t="str">
        <f t="shared" si="423"/>
        <v>0,808998881697119+0,0926167407364987i</v>
      </c>
      <c r="BJ470" s="68">
        <f t="shared" si="470"/>
        <v>-1.78449102096151</v>
      </c>
      <c r="BK470" s="31">
        <f t="shared" si="424"/>
        <v>6.53096791817858</v>
      </c>
      <c r="BL470" s="32">
        <f t="shared" si="471"/>
        <v>-18.0423436800411</v>
      </c>
      <c r="BM470" s="31">
        <f t="shared" si="472"/>
        <v>-87.8581591853301</v>
      </c>
      <c r="BO470">
        <f t="shared" si="473"/>
        <v>0</v>
      </c>
      <c r="BP470">
        <f t="shared" si="474"/>
        <v>0</v>
      </c>
    </row>
    <row r="471" spans="14:68">
      <c r="N471" s="7">
        <v>53</v>
      </c>
      <c r="O471" s="18">
        <f t="shared" si="422"/>
        <v>338844.156139203</v>
      </c>
      <c r="P471" s="86" t="str">
        <f t="shared" si="425"/>
        <v>54,5454545454545</v>
      </c>
      <c r="Q471" s="4" t="str">
        <f t="shared" si="426"/>
        <v>1+4335,46017831056i</v>
      </c>
      <c r="R471" s="4">
        <f t="shared" si="437"/>
        <v>4335.46029363857</v>
      </c>
      <c r="S471" s="4">
        <f t="shared" si="438"/>
        <v>1.57056567077659</v>
      </c>
      <c r="T471" s="4" t="str">
        <f t="shared" si="427"/>
        <v>1+33,3830433729914i</v>
      </c>
      <c r="U471" s="4">
        <f t="shared" si="439"/>
        <v>33.3980176783447</v>
      </c>
      <c r="V471" s="4">
        <f t="shared" si="440"/>
        <v>1.54084995424439</v>
      </c>
      <c r="W471" t="str">
        <f t="shared" si="428"/>
        <v>1-95,8059280474881i</v>
      </c>
      <c r="X471" s="4">
        <f t="shared" si="441"/>
        <v>95.8111467890896</v>
      </c>
      <c r="Y471" s="4">
        <f t="shared" si="442"/>
        <v>-1.5603589383463</v>
      </c>
      <c r="Z471" t="str">
        <f t="shared" si="429"/>
        <v>0,062731737553554+6,61517122232655i</v>
      </c>
      <c r="AA471" s="4">
        <f t="shared" si="443"/>
        <v>6.61546865849985</v>
      </c>
      <c r="AB471" s="4">
        <f t="shared" si="444"/>
        <v>1.56131360063243</v>
      </c>
      <c r="AC471" s="67" t="str">
        <f t="shared" si="445"/>
        <v>-6,08525284506701+0,0596106210940507i</v>
      </c>
      <c r="AD471" s="68">
        <f t="shared" si="446"/>
        <v>15.6859892903438</v>
      </c>
      <c r="AE471" s="31">
        <f t="shared" si="447"/>
        <v>179.43875335213</v>
      </c>
      <c r="AF471" s="32" t="str">
        <f t="shared" si="448"/>
        <v>432,040091031901</v>
      </c>
      <c r="AG471" s="32" t="str">
        <f t="shared" si="430"/>
        <v>1+3532,59718232712i</v>
      </c>
      <c r="AH471" s="32">
        <f t="shared" si="449"/>
        <v>3532.59732386604</v>
      </c>
      <c r="AI471" s="32">
        <f t="shared" si="450"/>
        <v>1.57051324895679</v>
      </c>
      <c r="AJ471" s="32" t="str">
        <f t="shared" si="431"/>
        <v>1+33,3830433729914i</v>
      </c>
      <c r="AK471" s="32">
        <f t="shared" si="451"/>
        <v>33.3980176783447</v>
      </c>
      <c r="AL471" s="32">
        <f t="shared" si="452"/>
        <v>1.54084995424439</v>
      </c>
      <c r="AM471" s="32" t="str">
        <f t="shared" si="432"/>
        <v>1-9,855450429303i</v>
      </c>
      <c r="AN471" s="32">
        <f t="shared" si="453"/>
        <v>9.90605386440275</v>
      </c>
      <c r="AO471" s="32">
        <f t="shared" si="454"/>
        <v>-1.46967571117917</v>
      </c>
      <c r="AP471" s="30" t="str">
        <f t="shared" si="455"/>
        <v>2,88887240132581-40,359107873452i</v>
      </c>
      <c r="AQ471" s="32">
        <f t="shared" si="456"/>
        <v>32.1410257742251</v>
      </c>
      <c r="AR471" s="31">
        <f t="shared" si="457"/>
        <v>-85.9057970969272</v>
      </c>
      <c r="AS471" t="str">
        <f t="shared" si="433"/>
        <v>-0,000201496259351621</v>
      </c>
      <c r="AT471" t="str">
        <f t="shared" si="434"/>
        <v>0,478390934050456i</v>
      </c>
      <c r="AU471">
        <f t="shared" si="458"/>
        <v>0.478390934050456</v>
      </c>
      <c r="AV471">
        <f t="shared" si="459"/>
        <v>1.5707963267949</v>
      </c>
      <c r="AW471" t="str">
        <f t="shared" si="435"/>
        <v>1+24,4927383674783i</v>
      </c>
      <c r="AX471">
        <f t="shared" si="460"/>
        <v>24.5131440810383</v>
      </c>
      <c r="AY471">
        <f t="shared" si="461"/>
        <v>1.52999056279293</v>
      </c>
      <c r="AZ471" t="str">
        <f t="shared" si="436"/>
        <v>1+1170,96134280263i</v>
      </c>
      <c r="BA471">
        <f t="shared" si="462"/>
        <v>1170.96176980213</v>
      </c>
      <c r="BB471">
        <f t="shared" si="463"/>
        <v>1.56994232784519</v>
      </c>
      <c r="BC471" s="30" t="str">
        <f t="shared" si="464"/>
        <v>-0,00080361526521299+0,0201039342539643i</v>
      </c>
      <c r="BD471" s="32">
        <f t="shared" si="465"/>
        <v>-33.9274450856575</v>
      </c>
      <c r="BE471" s="31">
        <f t="shared" si="466"/>
        <v>92.2890675215928</v>
      </c>
      <c r="BF471" s="30" t="str">
        <f t="shared" si="467"/>
        <v>0,00369179407166385-0,122385427121056i</v>
      </c>
      <c r="BG471" s="68">
        <f t="shared" si="468"/>
        <v>-18.2414557953137</v>
      </c>
      <c r="BH471" s="31">
        <f t="shared" si="469"/>
        <v>-88.2721791262777</v>
      </c>
      <c r="BI471" s="30" t="str">
        <f t="shared" si="423"/>
        <v>0,809055309275574+0,0905108960018298i</v>
      </c>
      <c r="BJ471" s="68">
        <f t="shared" si="470"/>
        <v>-1.78641931143244</v>
      </c>
      <c r="BK471" s="31">
        <f t="shared" si="424"/>
        <v>6.38327042466556</v>
      </c>
      <c r="BL471" s="32">
        <f t="shared" si="471"/>
        <v>-18.2414557953137</v>
      </c>
      <c r="BM471" s="31">
        <f t="shared" si="472"/>
        <v>-88.2721791262777</v>
      </c>
      <c r="BO471">
        <f t="shared" si="473"/>
        <v>0</v>
      </c>
      <c r="BP471">
        <f t="shared" si="474"/>
        <v>0</v>
      </c>
    </row>
    <row r="472" spans="14:68">
      <c r="N472" s="7">
        <v>54</v>
      </c>
      <c r="O472" s="18">
        <f t="shared" si="422"/>
        <v>346736.850452532</v>
      </c>
      <c r="P472" s="86" t="str">
        <f t="shared" si="425"/>
        <v>54,5454545454545</v>
      </c>
      <c r="Q472" s="4" t="str">
        <f t="shared" si="426"/>
        <v>1+4436,44601877745i</v>
      </c>
      <c r="R472" s="4">
        <f t="shared" si="437"/>
        <v>4436.44613148027</v>
      </c>
      <c r="S472" s="4">
        <f t="shared" si="438"/>
        <v>1.57057092114839</v>
      </c>
      <c r="T472" s="4" t="str">
        <f t="shared" si="427"/>
        <v>1+34,1606343445864i</v>
      </c>
      <c r="U472" s="4">
        <f t="shared" si="439"/>
        <v>34.1752679407863</v>
      </c>
      <c r="V472" s="4">
        <f t="shared" si="440"/>
        <v>1.54153122323977</v>
      </c>
      <c r="W472" t="str">
        <f t="shared" si="428"/>
        <v>1-98,0375347899482i</v>
      </c>
      <c r="X472" s="4">
        <f t="shared" si="441"/>
        <v>98.042634744739</v>
      </c>
      <c r="Y472" s="4">
        <f t="shared" si="442"/>
        <v>-1.56059650564356</v>
      </c>
      <c r="Z472" t="str">
        <f t="shared" si="429"/>
        <v>0,018559645210272+6,76925835454404i</v>
      </c>
      <c r="AA472" s="4">
        <f t="shared" si="443"/>
        <v>6.76928379749251</v>
      </c>
      <c r="AB472" s="4">
        <f t="shared" si="444"/>
        <v>1.56805457906822</v>
      </c>
      <c r="AC472" s="67" t="str">
        <f t="shared" si="445"/>
        <v>-6,08486933230504+0,097963474195599i</v>
      </c>
      <c r="AD472" s="68">
        <f t="shared" si="446"/>
        <v>15.6861506525162</v>
      </c>
      <c r="AE472" s="31">
        <f t="shared" si="447"/>
        <v>179.077645148489</v>
      </c>
      <c r="AF472" s="32" t="str">
        <f t="shared" si="448"/>
        <v>432,040091031901</v>
      </c>
      <c r="AG472" s="32" t="str">
        <f t="shared" si="430"/>
        <v>1+3614,88194122607i</v>
      </c>
      <c r="AH472" s="32">
        <f t="shared" si="449"/>
        <v>3614.88207954317</v>
      </c>
      <c r="AI472" s="32">
        <f t="shared" si="450"/>
        <v>1.57051969259473</v>
      </c>
      <c r="AJ472" s="32" t="str">
        <f t="shared" si="431"/>
        <v>1+34,1606343445864i</v>
      </c>
      <c r="AK472" s="32">
        <f t="shared" si="451"/>
        <v>34.1752679407863</v>
      </c>
      <c r="AL472" s="32">
        <f t="shared" si="452"/>
        <v>1.54153122323977</v>
      </c>
      <c r="AM472" s="32" t="str">
        <f t="shared" si="432"/>
        <v>1-10,0850133600761i</v>
      </c>
      <c r="AN472" s="32">
        <f t="shared" si="453"/>
        <v>10.1344706064458</v>
      </c>
      <c r="AO472" s="32">
        <f t="shared" si="454"/>
        <v>-1.47196236481741</v>
      </c>
      <c r="AP472" s="30" t="str">
        <f t="shared" si="455"/>
        <v>2,88887085355681-41,2935972594432i</v>
      </c>
      <c r="AQ472" s="32">
        <f t="shared" si="456"/>
        <v>32.3388581943761</v>
      </c>
      <c r="AR472" s="31">
        <f t="shared" si="457"/>
        <v>-85.9981480547175</v>
      </c>
      <c r="AS472" t="str">
        <f t="shared" si="433"/>
        <v>-0,000201496259351621</v>
      </c>
      <c r="AT472" t="str">
        <f t="shared" si="434"/>
        <v>0,489534090384476i</v>
      </c>
      <c r="AU472">
        <f t="shared" si="458"/>
        <v>0.489534090384476</v>
      </c>
      <c r="AV472">
        <f t="shared" si="459"/>
        <v>1.5707963267949</v>
      </c>
      <c r="AW472" t="str">
        <f t="shared" si="435"/>
        <v>1+25,0632475332064i</v>
      </c>
      <c r="AX472">
        <f t="shared" si="460"/>
        <v>25.0831891295899</v>
      </c>
      <c r="AY472">
        <f t="shared" si="461"/>
        <v>1.53091841951359</v>
      </c>
      <c r="AZ472" t="str">
        <f t="shared" si="436"/>
        <v>1+1198,23653632159i</v>
      </c>
      <c r="BA472">
        <f t="shared" si="462"/>
        <v>1198.2369536014</v>
      </c>
      <c r="BB472">
        <f t="shared" si="463"/>
        <v>1.56996176722546</v>
      </c>
      <c r="BC472" s="30" t="str">
        <f t="shared" si="464"/>
        <v>-0,000767504106906483+0,0196477536418697i</v>
      </c>
      <c r="BD472" s="32">
        <f t="shared" si="465"/>
        <v>-34.1271199263121</v>
      </c>
      <c r="BE472" s="31">
        <f t="shared" si="466"/>
        <v>92.2370190419518</v>
      </c>
      <c r="BF472" s="30" t="str">
        <f t="shared" si="467"/>
        <v>0,00274539999563664-0,11962920095287i</v>
      </c>
      <c r="BG472" s="68">
        <f t="shared" si="468"/>
        <v>-18.4409692737958</v>
      </c>
      <c r="BH472" s="31">
        <f t="shared" si="469"/>
        <v>-88.6853358095591</v>
      </c>
      <c r="BI472" s="30" t="str">
        <f t="shared" si="423"/>
        <v>0,809109205695699+0,088452828319427i</v>
      </c>
      <c r="BJ472" s="68">
        <f t="shared" si="470"/>
        <v>-1.78826173193594</v>
      </c>
      <c r="BK472" s="31">
        <f t="shared" si="424"/>
        <v>6.23887098723429</v>
      </c>
      <c r="BL472" s="32">
        <f t="shared" si="471"/>
        <v>-18.4409692737958</v>
      </c>
      <c r="BM472" s="31">
        <f t="shared" si="472"/>
        <v>-88.6853358095591</v>
      </c>
      <c r="BO472">
        <f t="shared" si="473"/>
        <v>0</v>
      </c>
      <c r="BP472">
        <f t="shared" si="474"/>
        <v>0</v>
      </c>
    </row>
    <row r="473" spans="14:68">
      <c r="N473" s="7">
        <v>55</v>
      </c>
      <c r="O473" s="18">
        <f t="shared" si="422"/>
        <v>354813.389233576</v>
      </c>
      <c r="P473" s="86" t="str">
        <f t="shared" si="425"/>
        <v>54,5454545454545</v>
      </c>
      <c r="Q473" s="4" t="str">
        <f t="shared" si="426"/>
        <v>1+4539,78412164683i</v>
      </c>
      <c r="R473" s="4">
        <f t="shared" si="437"/>
        <v>4539.78423178422</v>
      </c>
      <c r="S473" s="4">
        <f t="shared" si="438"/>
        <v>1.57057605200715</v>
      </c>
      <c r="T473" s="4" t="str">
        <f t="shared" si="427"/>
        <v>1+34,9563377366807i</v>
      </c>
      <c r="U473" s="4">
        <f t="shared" si="439"/>
        <v>34.9706383693648</v>
      </c>
      <c r="V473" s="4">
        <f t="shared" si="440"/>
        <v>1.54219701091766</v>
      </c>
      <c r="W473" t="str">
        <f t="shared" si="428"/>
        <v>1-100,321122331035i</v>
      </c>
      <c r="X473" s="4">
        <f t="shared" si="441"/>
        <v>100.326106202516</v>
      </c>
      <c r="Y473" s="4">
        <f t="shared" si="442"/>
        <v>-1.56082866636147</v>
      </c>
      <c r="Z473" t="str">
        <f t="shared" si="429"/>
        <v>-0,0276942137095399+6,9269346371429i</v>
      </c>
      <c r="AA473" s="4">
        <f t="shared" si="443"/>
        <v>6.92698999831262</v>
      </c>
      <c r="AB473" s="4">
        <f t="shared" si="444"/>
        <v>1.57479435299311</v>
      </c>
      <c r="AC473" s="67" t="str">
        <f t="shared" si="445"/>
        <v>-6,08397265351846+0,13636104524603i</v>
      </c>
      <c r="AD473" s="68">
        <f t="shared" si="446"/>
        <v>15.6859261952</v>
      </c>
      <c r="AE473" s="31">
        <f t="shared" si="447"/>
        <v>178.716035565858</v>
      </c>
      <c r="AF473" s="32" t="str">
        <f t="shared" si="448"/>
        <v>432,040091031901</v>
      </c>
      <c r="AG473" s="32" t="str">
        <f t="shared" si="430"/>
        <v>1+3699,0833583789i</v>
      </c>
      <c r="AH473" s="32">
        <f t="shared" si="449"/>
        <v>3699.08349354752</v>
      </c>
      <c r="AI473" s="32">
        <f t="shared" si="450"/>
        <v>1.5705259895576</v>
      </c>
      <c r="AJ473" s="32" t="str">
        <f t="shared" si="431"/>
        <v>1+34,9563377366807i</v>
      </c>
      <c r="AK473" s="32">
        <f t="shared" si="451"/>
        <v>34.9706383693648</v>
      </c>
      <c r="AL473" s="32">
        <f t="shared" si="452"/>
        <v>1.54219701091766</v>
      </c>
      <c r="AM473" s="32" t="str">
        <f t="shared" si="432"/>
        <v>1-10,3199234984237i</v>
      </c>
      <c r="AN473" s="32">
        <f t="shared" si="453"/>
        <v>10.3682602693662</v>
      </c>
      <c r="AO473" s="32">
        <f t="shared" si="454"/>
        <v>-1.47419797029195</v>
      </c>
      <c r="AP473" s="30" t="str">
        <f t="shared" si="455"/>
        <v>2,88886937544889-42,2499810572487i</v>
      </c>
      <c r="AQ473" s="32">
        <f t="shared" si="456"/>
        <v>32.536787311484</v>
      </c>
      <c r="AR473" s="31">
        <f t="shared" si="457"/>
        <v>-86.0884527784657</v>
      </c>
      <c r="AS473" t="str">
        <f t="shared" si="433"/>
        <v>-0,000201496259351621</v>
      </c>
      <c r="AT473" t="str">
        <f t="shared" si="434"/>
        <v>0,500936804172967i</v>
      </c>
      <c r="AU473">
        <f t="shared" si="458"/>
        <v>0.500936804172967</v>
      </c>
      <c r="AV473">
        <f t="shared" si="459"/>
        <v>1.5707963267949</v>
      </c>
      <c r="AW473" t="str">
        <f t="shared" si="435"/>
        <v>1+25,6470455645281i</v>
      </c>
      <c r="AX473">
        <f t="shared" si="460"/>
        <v>25.666533583423</v>
      </c>
      <c r="AY473">
        <f t="shared" si="461"/>
        <v>1.53182522202503</v>
      </c>
      <c r="AZ473" t="str">
        <f t="shared" si="436"/>
        <v>1+1226,14705071265i</v>
      </c>
      <c r="BA473">
        <f t="shared" si="462"/>
        <v>1226.14745849401</v>
      </c>
      <c r="BB473">
        <f t="shared" si="463"/>
        <v>1.56998076411202</v>
      </c>
      <c r="BC473" s="30" t="str">
        <f t="shared" si="464"/>
        <v>-0,000733013167930408+0,0192018609978898i</v>
      </c>
      <c r="BD473" s="32">
        <f t="shared" si="465"/>
        <v>-34.3268093788004</v>
      </c>
      <c r="BE473" s="31">
        <f t="shared" si="466"/>
        <v>92.1861515266178</v>
      </c>
      <c r="BF473" s="30" t="str">
        <f t="shared" si="467"/>
        <v>0,00184124623201631-0,116923551649582i</v>
      </c>
      <c r="BG473" s="68">
        <f t="shared" si="468"/>
        <v>-18.6408831836004</v>
      </c>
      <c r="BH473" s="31">
        <f t="shared" si="469"/>
        <v>-89.0978129075241</v>
      </c>
      <c r="BI473" s="30" t="str">
        <f t="shared" si="423"/>
        <v>0,809160684132132+0,0864414606482039i</v>
      </c>
      <c r="BJ473" s="68">
        <f t="shared" si="470"/>
        <v>-1.79002206731637</v>
      </c>
      <c r="BK473" s="31">
        <f t="shared" si="424"/>
        <v>6.09769874815208</v>
      </c>
      <c r="BL473" s="32">
        <f t="shared" si="471"/>
        <v>-18.6408831836004</v>
      </c>
      <c r="BM473" s="31">
        <f t="shared" si="472"/>
        <v>-89.0978129075241</v>
      </c>
      <c r="BO473">
        <f t="shared" si="473"/>
        <v>0</v>
      </c>
      <c r="BP473">
        <f t="shared" si="474"/>
        <v>0</v>
      </c>
    </row>
    <row r="474" spans="14:68">
      <c r="N474" s="7">
        <v>56</v>
      </c>
      <c r="O474" s="18">
        <f t="shared" si="422"/>
        <v>363078.054770102</v>
      </c>
      <c r="P474" s="86" t="str">
        <f t="shared" si="425"/>
        <v>54,5454545454545</v>
      </c>
      <c r="Q474" s="4" t="str">
        <f t="shared" si="426"/>
        <v>1+4645,52927814864i</v>
      </c>
      <c r="R474" s="4">
        <f t="shared" si="437"/>
        <v>4645.529385779</v>
      </c>
      <c r="S474" s="4">
        <f t="shared" si="438"/>
        <v>1.57058106607331</v>
      </c>
      <c r="T474" s="4" t="str">
        <f t="shared" si="427"/>
        <v>1+35,7705754417445i</v>
      </c>
      <c r="U474" s="4">
        <f t="shared" si="439"/>
        <v>35.7845506808949</v>
      </c>
      <c r="V474" s="4">
        <f t="shared" si="440"/>
        <v>1.54284766792516</v>
      </c>
      <c r="W474" t="str">
        <f t="shared" si="428"/>
        <v>1-102,657901459088i</v>
      </c>
      <c r="X474" s="4">
        <f t="shared" si="441"/>
        <v>102.662771889248</v>
      </c>
      <c r="Y474" s="4">
        <f t="shared" si="442"/>
        <v>-1.56105554349456</v>
      </c>
      <c r="Z474" t="str">
        <f t="shared" si="429"/>
        <v>-0,07612794984198+7,08828367217514i</v>
      </c>
      <c r="AA474" s="4">
        <f t="shared" si="443"/>
        <v>7.08869246631364</v>
      </c>
      <c r="AB474" s="4">
        <f t="shared" si="444"/>
        <v>1.58153588329731</v>
      </c>
      <c r="AC474" s="67" t="str">
        <f t="shared" si="445"/>
        <v>-6,08256116446511+0,174813297260787i</v>
      </c>
      <c r="AD474" s="68">
        <f t="shared" si="446"/>
        <v>15.6853154532278</v>
      </c>
      <c r="AE474" s="31">
        <f t="shared" si="447"/>
        <v>178.353767845385</v>
      </c>
      <c r="AF474" s="32" t="str">
        <f t="shared" si="448"/>
        <v>432,040091031901</v>
      </c>
      <c r="AG474" s="32" t="str">
        <f t="shared" si="430"/>
        <v>1+3785,24607849148i</v>
      </c>
      <c r="AH474" s="32">
        <f t="shared" si="449"/>
        <v>3785.24621058329</v>
      </c>
      <c r="AI474" s="32">
        <f t="shared" si="450"/>
        <v>1.57053214318411</v>
      </c>
      <c r="AJ474" s="32" t="str">
        <f t="shared" si="431"/>
        <v>1+35,7705754417445i</v>
      </c>
      <c r="AK474" s="32">
        <f t="shared" si="451"/>
        <v>35.7845506808949</v>
      </c>
      <c r="AL474" s="32">
        <f t="shared" si="452"/>
        <v>1.54284766792516</v>
      </c>
      <c r="AM474" s="32" t="str">
        <f t="shared" si="432"/>
        <v>1-10,5603053968104i</v>
      </c>
      <c r="AN474" s="32">
        <f t="shared" si="453"/>
        <v>10.6075468452373</v>
      </c>
      <c r="AO474" s="32">
        <f t="shared" si="454"/>
        <v>-1.47638362351406</v>
      </c>
      <c r="AP474" s="30" t="str">
        <f t="shared" si="455"/>
        <v>2,88886796386676-43,2287663542185i</v>
      </c>
      <c r="AQ474" s="32">
        <f t="shared" si="456"/>
        <v>32.7348088484736</v>
      </c>
      <c r="AR474" s="31">
        <f t="shared" si="457"/>
        <v>-86.1767541599594</v>
      </c>
      <c r="AS474" t="str">
        <f t="shared" si="433"/>
        <v>-0,000201496259351621</v>
      </c>
      <c r="AT474" t="str">
        <f t="shared" si="434"/>
        <v>0,512605121285714i</v>
      </c>
      <c r="AU474">
        <f t="shared" si="458"/>
        <v>0.512605121285714</v>
      </c>
      <c r="AV474">
        <f t="shared" si="459"/>
        <v>1.5707963267949</v>
      </c>
      <c r="AW474" t="str">
        <f t="shared" si="435"/>
        <v>1+26,2444419988867i</v>
      </c>
      <c r="AX474">
        <f t="shared" si="460"/>
        <v>26.2634867417281</v>
      </c>
      <c r="AY474">
        <f t="shared" si="461"/>
        <v>1.53271144515731</v>
      </c>
      <c r="AZ474" t="str">
        <f t="shared" si="436"/>
        <v>1+1254,70768449997i</v>
      </c>
      <c r="BA474">
        <f t="shared" si="462"/>
        <v>1254.7080829991</v>
      </c>
      <c r="BB474">
        <f t="shared" si="463"/>
        <v>1.56999932857721</v>
      </c>
      <c r="BC474" s="30" t="str">
        <f t="shared" si="464"/>
        <v>-0,000700069969804376+0,0187660285235112i</v>
      </c>
      <c r="BD474" s="32">
        <f t="shared" si="465"/>
        <v>-34.52651278748</v>
      </c>
      <c r="BE474" s="31">
        <f t="shared" si="466"/>
        <v>92.1364383469359</v>
      </c>
      <c r="BF474" s="30" t="str">
        <f t="shared" si="467"/>
        <v>0,000977667088055388-0,114267897848089i</v>
      </c>
      <c r="BG474" s="68">
        <f t="shared" si="468"/>
        <v>-18.8411973342522</v>
      </c>
      <c r="BH474" s="31">
        <f t="shared" si="469"/>
        <v>-89.5097938076792</v>
      </c>
      <c r="BI474" s="30" t="str">
        <f t="shared" si="423"/>
        <v>0,809209852731233+0,0844757397668595i</v>
      </c>
      <c r="BJ474" s="68">
        <f t="shared" si="470"/>
        <v>-1.79170393900636</v>
      </c>
      <c r="BK474" s="31">
        <f t="shared" si="424"/>
        <v>5.95968418697649</v>
      </c>
      <c r="BL474" s="32">
        <f t="shared" si="471"/>
        <v>-18.8411973342522</v>
      </c>
      <c r="BM474" s="31">
        <f t="shared" si="472"/>
        <v>-89.5097938076792</v>
      </c>
      <c r="BO474">
        <f t="shared" si="473"/>
        <v>0</v>
      </c>
      <c r="BP474">
        <f t="shared" si="474"/>
        <v>0</v>
      </c>
    </row>
    <row r="475" spans="14:68">
      <c r="N475" s="7">
        <v>57</v>
      </c>
      <c r="O475" s="18">
        <f t="shared" si="422"/>
        <v>371535.229097173</v>
      </c>
      <c r="P475" s="86" t="str">
        <f t="shared" si="425"/>
        <v>54,5454545454545</v>
      </c>
      <c r="Q475" s="4" t="str">
        <f t="shared" si="426"/>
        <v>1+4753,73755576457i</v>
      </c>
      <c r="R475" s="4">
        <f t="shared" si="437"/>
        <v>4753.73766094496</v>
      </c>
      <c r="S475" s="4">
        <f t="shared" si="438"/>
        <v>1.57058596600541</v>
      </c>
      <c r="T475" s="4" t="str">
        <f t="shared" si="427"/>
        <v>1+36,6037791793872i</v>
      </c>
      <c r="U475" s="4">
        <f t="shared" si="439"/>
        <v>36.6174364232853</v>
      </c>
      <c r="V475" s="4">
        <f t="shared" si="440"/>
        <v>1.54348353704428</v>
      </c>
      <c r="W475" t="str">
        <f t="shared" si="428"/>
        <v>1-105,049111165333i</v>
      </c>
      <c r="X475" s="4">
        <f t="shared" si="441"/>
        <v>105.053870736049</v>
      </c>
      <c r="Y475" s="4">
        <f t="shared" si="442"/>
        <v>-1.56127725724261</v>
      </c>
      <c r="Z475" t="str">
        <f t="shared" si="429"/>
        <v>-0,12684429763502+7,25339100903491i</v>
      </c>
      <c r="AA475" s="4">
        <f t="shared" si="443"/>
        <v>7.25450002452209</v>
      </c>
      <c r="AB475" s="4">
        <f t="shared" si="444"/>
        <v>1.58828213026599</v>
      </c>
      <c r="AC475" s="67" t="str">
        <f t="shared" si="445"/>
        <v>-6,08063241067988+0,213330150018044i</v>
      </c>
      <c r="AD475" s="68">
        <f t="shared" si="446"/>
        <v>15.6843172498155</v>
      </c>
      <c r="AE475" s="31">
        <f t="shared" si="447"/>
        <v>177.990684975923</v>
      </c>
      <c r="AF475" s="32" t="str">
        <f t="shared" si="448"/>
        <v>432,040091031901</v>
      </c>
      <c r="AG475" s="32" t="str">
        <f t="shared" si="430"/>
        <v>1+3873,41578617854i</v>
      </c>
      <c r="AH475" s="32">
        <f t="shared" si="449"/>
        <v>3873.41591526357</v>
      </c>
      <c r="AI475" s="32">
        <f t="shared" si="450"/>
        <v>1.570538156737</v>
      </c>
      <c r="AJ475" s="32" t="str">
        <f t="shared" si="431"/>
        <v>1+36,6037791793872i</v>
      </c>
      <c r="AK475" s="32">
        <f t="shared" si="451"/>
        <v>36.6174364232853</v>
      </c>
      <c r="AL475" s="32">
        <f t="shared" si="452"/>
        <v>1.54348353704428</v>
      </c>
      <c r="AM475" s="32" t="str">
        <f t="shared" si="432"/>
        <v>1-10,8062865089007i</v>
      </c>
      <c r="AN475" s="32">
        <f t="shared" si="453"/>
        <v>10.8524572384529</v>
      </c>
      <c r="AO475" s="32">
        <f t="shared" si="454"/>
        <v>-1.4785203997717</v>
      </c>
      <c r="AP475" s="30" t="str">
        <f t="shared" si="455"/>
        <v>2,88886661581631-44,2304721152766i</v>
      </c>
      <c r="AQ475" s="32">
        <f t="shared" si="456"/>
        <v>32.9329187142584</v>
      </c>
      <c r="AR475" s="31">
        <f t="shared" si="457"/>
        <v>-86.2630943556375</v>
      </c>
      <c r="AS475" t="str">
        <f t="shared" si="433"/>
        <v>-0,000201496259351621</v>
      </c>
      <c r="AT475" t="str">
        <f t="shared" si="434"/>
        <v>0,524545228418897i</v>
      </c>
      <c r="AU475">
        <f t="shared" si="458"/>
        <v>0.524545228418897</v>
      </c>
      <c r="AV475">
        <f t="shared" si="459"/>
        <v>1.5707963267949</v>
      </c>
      <c r="AW475" t="str">
        <f t="shared" si="435"/>
        <v>1+26,8557535837795i</v>
      </c>
      <c r="AX475">
        <f t="shared" si="460"/>
        <v>26.8743651190625</v>
      </c>
      <c r="AY475">
        <f t="shared" si="461"/>
        <v>1.53357755322623</v>
      </c>
      <c r="AZ475" t="str">
        <f t="shared" si="436"/>
        <v>1+1283,93358090963i</v>
      </c>
      <c r="BA475">
        <f t="shared" si="462"/>
        <v>1283.93397033782</v>
      </c>
      <c r="BB475">
        <f t="shared" si="463"/>
        <v>1.57001747046412</v>
      </c>
      <c r="BC475" s="30" t="str">
        <f t="shared" si="464"/>
        <v>-0,000668605257229812+0,0183400331817463i</v>
      </c>
      <c r="BD475" s="32">
        <f t="shared" si="465"/>
        <v>-34.726229526042</v>
      </c>
      <c r="BE475" s="31">
        <f t="shared" si="466"/>
        <v>92.0878534635368</v>
      </c>
      <c r="BF475" s="30" t="str">
        <f t="shared" si="467"/>
        <v>0,000153060767064709-0,111661633837699i</v>
      </c>
      <c r="BG475" s="68">
        <f t="shared" si="468"/>
        <v>-19.0419122762265</v>
      </c>
      <c r="BH475" s="31">
        <f t="shared" si="469"/>
        <v>-89.9214615605401</v>
      </c>
      <c r="BI475" s="30" t="str">
        <f t="shared" si="423"/>
        <v>0,809256814831707+0,0825546357777408i</v>
      </c>
      <c r="BJ475" s="68">
        <f t="shared" si="470"/>
        <v>-1.7933108117837</v>
      </c>
      <c r="BK475" s="31">
        <f t="shared" si="424"/>
        <v>5.82475910789928</v>
      </c>
      <c r="BL475" s="32">
        <f t="shared" si="471"/>
        <v>-19.0419122762265</v>
      </c>
      <c r="BM475" s="31">
        <f t="shared" si="472"/>
        <v>-89.9214615605401</v>
      </c>
      <c r="BO475">
        <f t="shared" si="473"/>
        <v>0</v>
      </c>
      <c r="BP475">
        <f t="shared" si="474"/>
        <v>0</v>
      </c>
    </row>
    <row r="476" spans="14:68">
      <c r="N476" s="7">
        <v>58</v>
      </c>
      <c r="O476" s="18">
        <f t="shared" si="422"/>
        <v>380189.396320562</v>
      </c>
      <c r="P476" s="86" t="str">
        <f t="shared" si="425"/>
        <v>54,5454545454545</v>
      </c>
      <c r="Q476" s="4" t="str">
        <f t="shared" si="426"/>
        <v>1+4864,46632795572i</v>
      </c>
      <c r="R476" s="4">
        <f t="shared" si="437"/>
        <v>4864.46643074192</v>
      </c>
      <c r="S476" s="4">
        <f t="shared" si="438"/>
        <v>1.57059075440144</v>
      </c>
      <c r="T476" s="4" t="str">
        <f t="shared" si="427"/>
        <v>1+37,4563907252591i</v>
      </c>
      <c r="U476" s="4">
        <f t="shared" si="439"/>
        <v>37.469737204353</v>
      </c>
      <c r="V476" s="4">
        <f t="shared" si="440"/>
        <v>1.54410495336328</v>
      </c>
      <c r="W476" t="str">
        <f t="shared" si="428"/>
        <v>1-107,496019300807i</v>
      </c>
      <c r="X476" s="4">
        <f t="shared" si="441"/>
        <v>107.500670535209</v>
      </c>
      <c r="Y476" s="4">
        <f t="shared" si="442"/>
        <v>-1.56149392507393</v>
      </c>
      <c r="Z476" t="str">
        <f t="shared" si="429"/>
        <v>-0,17995083326199+7,42234418981765i</v>
      </c>
      <c r="AA476" s="4">
        <f t="shared" si="443"/>
        <v>7.42452527603695</v>
      </c>
      <c r="AB476" s="4">
        <f t="shared" si="444"/>
        <v>1.59503605255424</v>
      </c>
      <c r="AC476" s="67" t="str">
        <f t="shared" si="445"/>
        <v>-6,07818312621426+0,251921444954705i</v>
      </c>
      <c r="AD476" s="68">
        <f t="shared" si="446"/>
        <v>15.6829296949653</v>
      </c>
      <c r="AE476" s="31">
        <f t="shared" si="447"/>
        <v>177.626629758872</v>
      </c>
      <c r="AF476" s="32" t="str">
        <f t="shared" si="448"/>
        <v>432,040091031901</v>
      </c>
      <c r="AG476" s="32" t="str">
        <f t="shared" si="430"/>
        <v>1+3963,63923018614i</v>
      </c>
      <c r="AH476" s="32">
        <f t="shared" si="449"/>
        <v>3963.63935633284</v>
      </c>
      <c r="AI476" s="32">
        <f t="shared" si="450"/>
        <v>1.57054403340473</v>
      </c>
      <c r="AJ476" s="32" t="str">
        <f t="shared" si="431"/>
        <v>1+37,4563907252591i</v>
      </c>
      <c r="AK476" s="32">
        <f t="shared" si="451"/>
        <v>37.469737204353</v>
      </c>
      <c r="AL476" s="32">
        <f t="shared" si="452"/>
        <v>1.54410495336328</v>
      </c>
      <c r="AM476" s="32" t="str">
        <f t="shared" si="432"/>
        <v>1-11,0579972571362i</v>
      </c>
      <c r="AN476" s="32">
        <f t="shared" si="453"/>
        <v>11.1031213331582</v>
      </c>
      <c r="AO476" s="32">
        <f t="shared" si="454"/>
        <v>-1.4806093539199</v>
      </c>
      <c r="AP476" s="30" t="str">
        <f t="shared" si="455"/>
        <v>2,88886532843811-45,2556294580788i</v>
      </c>
      <c r="AQ476" s="32">
        <f t="shared" si="456"/>
        <v>33.1311129959303</v>
      </c>
      <c r="AR476" s="31">
        <f t="shared" si="457"/>
        <v>-86.3475147877853</v>
      </c>
      <c r="AS476" t="str">
        <f t="shared" si="433"/>
        <v>-0,000201496259351621</v>
      </c>
      <c r="AT476" t="str">
        <f t="shared" si="434"/>
        <v>0,536763456375365i</v>
      </c>
      <c r="AU476">
        <f t="shared" si="458"/>
        <v>0.536763456375365</v>
      </c>
      <c r="AV476">
        <f t="shared" si="459"/>
        <v>1.5707963267949</v>
      </c>
      <c r="AW476" t="str">
        <f t="shared" si="435"/>
        <v>1+27,4813044447003i</v>
      </c>
      <c r="AX476">
        <f t="shared" si="460"/>
        <v>27.4994926131793</v>
      </c>
      <c r="AY476">
        <f t="shared" si="461"/>
        <v>1.53442400025314</v>
      </c>
      <c r="AZ476" t="str">
        <f t="shared" si="436"/>
        <v>1+1313,84023589876i</v>
      </c>
      <c r="BA476">
        <f t="shared" si="462"/>
        <v>1313.84061646248</v>
      </c>
      <c r="BB476">
        <f t="shared" si="463"/>
        <v>1.57003519939175</v>
      </c>
      <c r="BC476" s="30" t="str">
        <f t="shared" si="464"/>
        <v>-0,000638552856428181+0,0179236566167844i</v>
      </c>
      <c r="BD476" s="32">
        <f t="shared" si="465"/>
        <v>-34.925958996206</v>
      </c>
      <c r="BE476" s="31">
        <f t="shared" si="466"/>
        <v>92.0403714140424</v>
      </c>
      <c r="BF476" s="30" t="str">
        <f t="shared" si="467"/>
        <v>-0,000634112276634599-0,109104132366469i</v>
      </c>
      <c r="BG476" s="68">
        <f t="shared" si="468"/>
        <v>-19.2430293012407</v>
      </c>
      <c r="BH476" s="31">
        <f t="shared" si="469"/>
        <v>-90.3329988270854</v>
      </c>
      <c r="BI476" s="30" t="str">
        <f t="shared" si="423"/>
        <v>0,809301669175727+0,0806771416189703i</v>
      </c>
      <c r="BJ476" s="68">
        <f t="shared" si="470"/>
        <v>-1.79484600027578</v>
      </c>
      <c r="BK476" s="31">
        <f t="shared" si="424"/>
        <v>5.6928566262571</v>
      </c>
      <c r="BL476" s="32">
        <f t="shared" si="471"/>
        <v>-19.2430293012407</v>
      </c>
      <c r="BM476" s="31">
        <f t="shared" si="472"/>
        <v>-90.3329988270854</v>
      </c>
      <c r="BO476">
        <f t="shared" si="473"/>
        <v>0</v>
      </c>
      <c r="BP476">
        <f t="shared" si="474"/>
        <v>0</v>
      </c>
    </row>
    <row r="477" spans="14:68">
      <c r="N477" s="7">
        <v>59</v>
      </c>
      <c r="O477" s="18">
        <f t="shared" si="422"/>
        <v>389045.144994281</v>
      </c>
      <c r="P477" s="86" t="str">
        <f t="shared" si="425"/>
        <v>54,5454545454545</v>
      </c>
      <c r="Q477" s="4" t="str">
        <f t="shared" si="426"/>
        <v>1+4977,77430458278i</v>
      </c>
      <c r="R477" s="4">
        <f t="shared" si="437"/>
        <v>4977.77440502928</v>
      </c>
      <c r="S477" s="4">
        <f t="shared" si="438"/>
        <v>1.57059543380029</v>
      </c>
      <c r="T477" s="4" t="str">
        <f t="shared" si="427"/>
        <v>1+38,3288621452875i</v>
      </c>
      <c r="U477" s="4">
        <f t="shared" si="439"/>
        <v>38.3419049259743</v>
      </c>
      <c r="V477" s="4">
        <f t="shared" si="440"/>
        <v>1.54471224444449</v>
      </c>
      <c r="W477" t="str">
        <f t="shared" si="428"/>
        <v>1-109,999923248593i</v>
      </c>
      <c r="X477" s="4">
        <f t="shared" si="441"/>
        <v>110.004468612399</v>
      </c>
      <c r="Y477" s="4">
        <f t="shared" si="442"/>
        <v>-1.56170566178727</v>
      </c>
      <c r="Z477" t="str">
        <f t="shared" si="429"/>
        <v>-0,23556020280508+7,59523279573618i</v>
      </c>
      <c r="AA477" s="4">
        <f t="shared" si="443"/>
        <v>7.59888477545041</v>
      </c>
      <c r="AB477" s="4">
        <f t="shared" si="444"/>
        <v>1.60180060614766</v>
      </c>
      <c r="AC477" s="67" t="str">
        <f t="shared" si="445"/>
        <v>-6,07520923268333+0,29059690973058i</v>
      </c>
      <c r="AD477" s="68">
        <f t="shared" si="446"/>
        <v>15.681150183179</v>
      </c>
      <c r="AE477" s="31">
        <f t="shared" si="447"/>
        <v>177.261444873722</v>
      </c>
      <c r="AF477" s="32" t="str">
        <f t="shared" si="448"/>
        <v>432,040091031901</v>
      </c>
      <c r="AG477" s="32" t="str">
        <f t="shared" si="430"/>
        <v>1+4055,96424817857i</v>
      </c>
      <c r="AH477" s="32">
        <f t="shared" si="449"/>
        <v>4055.96437145382</v>
      </c>
      <c r="AI477" s="32">
        <f t="shared" si="450"/>
        <v>1.57054977630319</v>
      </c>
      <c r="AJ477" s="32" t="str">
        <f t="shared" si="431"/>
        <v>1+38,3288621452875i</v>
      </c>
      <c r="AK477" s="32">
        <f t="shared" si="451"/>
        <v>38.3419049259743</v>
      </c>
      <c r="AL477" s="32">
        <f t="shared" si="452"/>
        <v>1.54471224444449</v>
      </c>
      <c r="AM477" s="32" t="str">
        <f t="shared" si="432"/>
        <v>1-11,3155711018872i</v>
      </c>
      <c r="AN477" s="32">
        <f t="shared" si="453"/>
        <v>11.3596720622501</v>
      </c>
      <c r="AO477" s="32">
        <f t="shared" si="454"/>
        <v>-1.48265152058446</v>
      </c>
      <c r="AP477" s="30" t="str">
        <f t="shared" si="455"/>
        <v>2,88886409900146-46,3047819346186i</v>
      </c>
      <c r="AQ477" s="32">
        <f t="shared" si="456"/>
        <v>33.3293879512544</v>
      </c>
      <c r="AR477" s="31">
        <f t="shared" si="457"/>
        <v>-86.4300561466814</v>
      </c>
      <c r="AS477" t="str">
        <f t="shared" si="433"/>
        <v>-0,000201496259351621</v>
      </c>
      <c r="AT477" t="str">
        <f t="shared" si="434"/>
        <v>0,549266283421307i</v>
      </c>
      <c r="AU477">
        <f t="shared" si="458"/>
        <v>0.549266283421307</v>
      </c>
      <c r="AV477">
        <f t="shared" si="459"/>
        <v>1.5707963267949</v>
      </c>
      <c r="AW477" t="str">
        <f t="shared" si="435"/>
        <v>1+28,1214262569958i</v>
      </c>
      <c r="AX477">
        <f t="shared" si="460"/>
        <v>28.1392006767721</v>
      </c>
      <c r="AY477">
        <f t="shared" si="461"/>
        <v>1.53525123018104</v>
      </c>
      <c r="AZ477" t="str">
        <f t="shared" si="436"/>
        <v>1+1344,44350637169i</v>
      </c>
      <c r="BA477">
        <f t="shared" si="462"/>
        <v>1344.44387827272</v>
      </c>
      <c r="BB477">
        <f t="shared" si="463"/>
        <v>1.57005252476019</v>
      </c>
      <c r="BC477" s="30" t="str">
        <f t="shared" si="464"/>
        <v>-0,000609849539557427+0,0175166850736259i</v>
      </c>
      <c r="BD477" s="32">
        <f t="shared" si="465"/>
        <v>-35.1257006264725</v>
      </c>
      <c r="BE477" s="31">
        <f t="shared" si="466"/>
        <v>91.9939673009767</v>
      </c>
      <c r="BF477" s="30" t="str">
        <f t="shared" si="467"/>
        <v>-0,00138533099785251-0,106594747276894i</v>
      </c>
      <c r="BG477" s="68">
        <f t="shared" si="468"/>
        <v>-19.4445504432935</v>
      </c>
      <c r="BH477" s="31">
        <f t="shared" si="469"/>
        <v>-90.7445878253017</v>
      </c>
      <c r="BI477" s="30" t="str">
        <f t="shared" si="423"/>
        <v>0,809344510111016+0,0788422725848468i</v>
      </c>
      <c r="BJ477" s="68">
        <f t="shared" si="470"/>
        <v>-1.796312675218</v>
      </c>
      <c r="BK477" s="31">
        <f t="shared" si="424"/>
        <v>5.56391115429527</v>
      </c>
      <c r="BL477" s="32">
        <f t="shared" si="471"/>
        <v>-19.4445504432935</v>
      </c>
      <c r="BM477" s="31">
        <f t="shared" si="472"/>
        <v>-90.7445878253017</v>
      </c>
      <c r="BO477">
        <f t="shared" si="473"/>
        <v>0</v>
      </c>
      <c r="BP477">
        <f t="shared" si="474"/>
        <v>0</v>
      </c>
    </row>
    <row r="478" spans="14:68">
      <c r="N478" s="7">
        <v>60</v>
      </c>
      <c r="O478" s="18">
        <f t="shared" si="422"/>
        <v>398107.170553497</v>
      </c>
      <c r="P478" s="86" t="str">
        <f t="shared" si="425"/>
        <v>54,5454545454545</v>
      </c>
      <c r="Q478" s="4" t="str">
        <f t="shared" si="426"/>
        <v>1+5093,72156303476i</v>
      </c>
      <c r="R478" s="4">
        <f t="shared" si="437"/>
        <v>5093.72166119482</v>
      </c>
      <c r="S478" s="4">
        <f t="shared" si="438"/>
        <v>1.57060000668301</v>
      </c>
      <c r="T478" s="4" t="str">
        <f t="shared" si="427"/>
        <v>1+39,2216560353677i</v>
      </c>
      <c r="U478" s="4">
        <f t="shared" si="439"/>
        <v>39.2344020236921</v>
      </c>
      <c r="V478" s="4">
        <f t="shared" si="440"/>
        <v>1.54530573048889</v>
      </c>
      <c r="W478" t="str">
        <f t="shared" si="428"/>
        <v>1-112,562150611706i</v>
      </c>
      <c r="X478" s="4">
        <f t="shared" si="441"/>
        <v>112.566592514531</v>
      </c>
      <c r="Y478" s="4">
        <f t="shared" si="442"/>
        <v>-1.56191257957224</v>
      </c>
      <c r="Z478" t="str">
        <f t="shared" si="429"/>
        <v>-0,29379036119275+7,77214849461777i</v>
      </c>
      <c r="AA478" s="4">
        <f t="shared" si="443"/>
        <v>7.77769920983828</v>
      </c>
      <c r="AB478" s="4">
        <f t="shared" si="444"/>
        <v>1.60857874329999</v>
      </c>
      <c r="AC478" s="67" t="str">
        <f t="shared" si="445"/>
        <v>-6,07170583865059+0,329366122359041i</v>
      </c>
      <c r="AD478" s="68">
        <f t="shared" si="446"/>
        <v>15.6789753904857</v>
      </c>
      <c r="AE478" s="31">
        <f t="shared" si="447"/>
        <v>176.894972944811</v>
      </c>
      <c r="AF478" s="32" t="str">
        <f t="shared" si="448"/>
        <v>432,040091031901</v>
      </c>
      <c r="AG478" s="32" t="str">
        <f t="shared" si="430"/>
        <v>1+4150,43979210239i</v>
      </c>
      <c r="AH478" s="32">
        <f t="shared" si="449"/>
        <v>4150.43991257155</v>
      </c>
      <c r="AI478" s="32">
        <f t="shared" si="450"/>
        <v>1.57055538847734</v>
      </c>
      <c r="AJ478" s="32" t="str">
        <f t="shared" si="431"/>
        <v>1+39,2216560353677i</v>
      </c>
      <c r="AK478" s="32">
        <f t="shared" si="451"/>
        <v>39.2344020236921</v>
      </c>
      <c r="AL478" s="32">
        <f t="shared" si="452"/>
        <v>1.54530573048889</v>
      </c>
      <c r="AM478" s="32" t="str">
        <f t="shared" si="432"/>
        <v>1-11,5791446122158i</v>
      </c>
      <c r="AN478" s="32">
        <f t="shared" si="453"/>
        <v>11.6222454779877</v>
      </c>
      <c r="AO478" s="32">
        <f t="shared" si="454"/>
        <v>-1.4846479143775</v>
      </c>
      <c r="AP478" s="30" t="str">
        <f t="shared" si="455"/>
        <v>2,88886292489857-47,3784858194298i</v>
      </c>
      <c r="AQ478" s="32">
        <f t="shared" si="456"/>
        <v>33.5277400014582</v>
      </c>
      <c r="AR478" s="31">
        <f t="shared" si="457"/>
        <v>-86.5107583936175</v>
      </c>
      <c r="AS478" t="str">
        <f t="shared" si="433"/>
        <v>-0,000201496259351621</v>
      </c>
      <c r="AT478" t="str">
        <f t="shared" si="434"/>
        <v>0,562060338721117i</v>
      </c>
      <c r="AU478">
        <f t="shared" si="458"/>
        <v>0.562060338721117</v>
      </c>
      <c r="AV478">
        <f t="shared" si="459"/>
        <v>1.5707963267949</v>
      </c>
      <c r="AW478" t="str">
        <f t="shared" si="435"/>
        <v>1+28,7764584217237i</v>
      </c>
      <c r="AX478">
        <f t="shared" si="460"/>
        <v>28.7938284932239</v>
      </c>
      <c r="AY478">
        <f t="shared" si="461"/>
        <v>1.53605967708696</v>
      </c>
      <c r="AZ478" t="str">
        <f t="shared" si="436"/>
        <v>1+1375,75961858751i</v>
      </c>
      <c r="BA478">
        <f t="shared" si="462"/>
        <v>1375.75998202305</v>
      </c>
      <c r="BB478">
        <f t="shared" si="463"/>
        <v>1.57006945575553</v>
      </c>
      <c r="BC478" s="30" t="str">
        <f t="shared" si="464"/>
        <v>-0,000582434894959127+0,0171189093178227i</v>
      </c>
      <c r="BD478" s="32">
        <f t="shared" si="465"/>
        <v>-35.3254538709303</v>
      </c>
      <c r="BE478" s="31">
        <f t="shared" si="466"/>
        <v>91.948616779883</v>
      </c>
      <c r="BF478" s="30" t="str">
        <f t="shared" si="467"/>
        <v>-0,00210201542867014-0,104132815979233i</v>
      </c>
      <c r="BG478" s="68">
        <f t="shared" si="468"/>
        <v>-19.6464784804447</v>
      </c>
      <c r="BH478" s="31">
        <f t="shared" si="469"/>
        <v>-91.1564102753062</v>
      </c>
      <c r="BI478" s="30" t="str">
        <f t="shared" si="423"/>
        <v>0,809385427784353+0,0770490658545208i</v>
      </c>
      <c r="BJ478" s="68">
        <f t="shared" si="470"/>
        <v>-1.79771386947207</v>
      </c>
      <c r="BK478" s="31">
        <f t="shared" si="424"/>
        <v>5.4378583862655</v>
      </c>
      <c r="BL478" s="32">
        <f t="shared" si="471"/>
        <v>-19.6464784804447</v>
      </c>
      <c r="BM478" s="31">
        <f t="shared" si="472"/>
        <v>-91.1564102753062</v>
      </c>
      <c r="BO478">
        <f t="shared" si="473"/>
        <v>0</v>
      </c>
      <c r="BP478">
        <f t="shared" si="474"/>
        <v>0</v>
      </c>
    </row>
    <row r="479" spans="14:68">
      <c r="N479" s="7">
        <v>61</v>
      </c>
      <c r="O479" s="18">
        <f t="shared" si="422"/>
        <v>407380.277804113</v>
      </c>
      <c r="P479" s="86" t="str">
        <f t="shared" si="425"/>
        <v>54,5454545454545</v>
      </c>
      <c r="Q479" s="4" t="str">
        <f t="shared" si="426"/>
        <v>1+5212,36958008284i</v>
      </c>
      <c r="R479" s="4">
        <f t="shared" si="437"/>
        <v>5212.3696760085</v>
      </c>
      <c r="S479" s="4">
        <f t="shared" si="438"/>
        <v>1.57060447547423</v>
      </c>
      <c r="T479" s="4" t="str">
        <f t="shared" si="427"/>
        <v>1+40,1352457666379i</v>
      </c>
      <c r="U479" s="4">
        <f t="shared" si="439"/>
        <v>40.1477017119091</v>
      </c>
      <c r="V479" s="4">
        <f t="shared" si="440"/>
        <v>1.54588572449735</v>
      </c>
      <c r="W479" t="str">
        <f t="shared" si="428"/>
        <v>1-115,184059917009i</v>
      </c>
      <c r="X479" s="4">
        <f t="shared" si="441"/>
        <v>115.188400713636</v>
      </c>
      <c r="Y479" s="4">
        <f t="shared" si="442"/>
        <v>-1.56211478806848</v>
      </c>
      <c r="Z479" t="str">
        <f t="shared" si="429"/>
        <v>-0,35476482239802+7,95318508950779i</v>
      </c>
      <c r="AA479" s="4">
        <f t="shared" si="443"/>
        <v>7.96109358990209</v>
      </c>
      <c r="AB479" s="4">
        <f t="shared" si="444"/>
        <v>1.61537341143851</v>
      </c>
      <c r="AC479" s="67" t="str">
        <f t="shared" si="445"/>
        <v>-6,06766723939423+0,368238474804154i</v>
      </c>
      <c r="AD479" s="68">
        <f t="shared" si="446"/>
        <v>15.6764012707957</v>
      </c>
      <c r="AE479" s="31">
        <f t="shared" si="447"/>
        <v>176.527056609817</v>
      </c>
      <c r="AF479" s="32" t="str">
        <f t="shared" si="448"/>
        <v>432,040091031901</v>
      </c>
      <c r="AG479" s="32" t="str">
        <f t="shared" si="430"/>
        <v>1+4247,11595414157i</v>
      </c>
      <c r="AH479" s="32">
        <f t="shared" si="449"/>
        <v>4247.11607186852</v>
      </c>
      <c r="AI479" s="32">
        <f t="shared" si="450"/>
        <v>1.57056087290282</v>
      </c>
      <c r="AJ479" s="32" t="str">
        <f t="shared" si="431"/>
        <v>1+40,1352457666379i</v>
      </c>
      <c r="AK479" s="32">
        <f t="shared" si="451"/>
        <v>40.1477017119091</v>
      </c>
      <c r="AL479" s="32">
        <f t="shared" si="452"/>
        <v>1.54588572449735</v>
      </c>
      <c r="AM479" s="32" t="str">
        <f t="shared" si="432"/>
        <v>1-11,8488575382859i</v>
      </c>
      <c r="AN479" s="32">
        <f t="shared" si="453"/>
        <v>11.8909808242464</v>
      </c>
      <c r="AO479" s="32">
        <f t="shared" si="454"/>
        <v>-1.48659953012372</v>
      </c>
      <c r="AP479" s="30" t="str">
        <f t="shared" si="455"/>
        <v>2,88886180363901-48,4773104045253i</v>
      </c>
      <c r="AQ479" s="32">
        <f t="shared" si="456"/>
        <v>33.7261657243027</v>
      </c>
      <c r="AR479" s="31">
        <f t="shared" si="457"/>
        <v>-86.5896607647126</v>
      </c>
      <c r="AS479" t="str">
        <f t="shared" si="433"/>
        <v>-0,000201496259351621</v>
      </c>
      <c r="AT479" t="str">
        <f t="shared" si="434"/>
        <v>0,575152405852267i</v>
      </c>
      <c r="AU479">
        <f t="shared" si="458"/>
        <v>0.575152405852267</v>
      </c>
      <c r="AV479">
        <f t="shared" si="459"/>
        <v>1.5707963267949</v>
      </c>
      <c r="AW479" t="str">
        <f t="shared" si="435"/>
        <v>1+29,4467482456084i</v>
      </c>
      <c r="AX479">
        <f t="shared" si="460"/>
        <v>29.4637231564553</v>
      </c>
      <c r="AY479">
        <f t="shared" si="461"/>
        <v>1.5368497653906</v>
      </c>
      <c r="AZ479" t="str">
        <f t="shared" si="436"/>
        <v>1+1407,80517676345i</v>
      </c>
      <c r="BA479">
        <f t="shared" si="462"/>
        <v>1407.80553192618</v>
      </c>
      <c r="BB479">
        <f t="shared" si="463"/>
        <v>1.57008600135476</v>
      </c>
      <c r="BC479" s="30" t="str">
        <f t="shared" si="464"/>
        <v>-0,000556251202997527+0,0167301245554344i</v>
      </c>
      <c r="BD479" s="32">
        <f t="shared" si="465"/>
        <v>-35.525218208117</v>
      </c>
      <c r="BE479" s="31">
        <f t="shared" si="466"/>
        <v>91.904296047647</v>
      </c>
      <c r="BF479" s="30" t="str">
        <f t="shared" si="467"/>
        <v>-0,00278552834827496-0,101717661770594i</v>
      </c>
      <c r="BG479" s="68">
        <f t="shared" si="468"/>
        <v>-19.8488169373212</v>
      </c>
      <c r="BH479" s="31">
        <f t="shared" si="469"/>
        <v>-91.5686473425362</v>
      </c>
      <c r="BI479" s="30" t="str">
        <f t="shared" si="423"/>
        <v>0,809424508326596+0,0752965800289192i</v>
      </c>
      <c r="BJ479" s="68">
        <f t="shared" si="470"/>
        <v>-1.79905248381424</v>
      </c>
      <c r="BK479" s="31">
        <f t="shared" si="424"/>
        <v>5.31463528293439</v>
      </c>
      <c r="BL479" s="32">
        <f t="shared" si="471"/>
        <v>-19.8488169373212</v>
      </c>
      <c r="BM479" s="31">
        <f t="shared" si="472"/>
        <v>-91.5686473425362</v>
      </c>
      <c r="BO479">
        <f t="shared" si="473"/>
        <v>0</v>
      </c>
      <c r="BP479">
        <f t="shared" si="474"/>
        <v>0</v>
      </c>
    </row>
    <row r="480" spans="14:68">
      <c r="N480" s="7">
        <v>62</v>
      </c>
      <c r="O480" s="18">
        <f t="shared" si="422"/>
        <v>416869.383470336</v>
      </c>
      <c r="P480" s="86" t="str">
        <f t="shared" si="425"/>
        <v>54,5454545454545</v>
      </c>
      <c r="Q480" s="4" t="str">
        <f t="shared" si="426"/>
        <v>1+5333,78126447616i</v>
      </c>
      <c r="R480" s="4">
        <f t="shared" si="437"/>
        <v>5333.78135821829</v>
      </c>
      <c r="S480" s="4">
        <f t="shared" si="438"/>
        <v>1.57060884254335</v>
      </c>
      <c r="T480" s="4" t="str">
        <f t="shared" si="427"/>
        <v>1+41,0701157364665i</v>
      </c>
      <c r="U480" s="4">
        <f t="shared" si="439"/>
        <v>41.0822882347947</v>
      </c>
      <c r="V480" s="4">
        <f t="shared" si="440"/>
        <v>1.54645253242864</v>
      </c>
      <c r="W480" t="str">
        <f t="shared" si="428"/>
        <v>1-117,867041335522i</v>
      </c>
      <c r="X480" s="4">
        <f t="shared" si="441"/>
        <v>117.871283327152</v>
      </c>
      <c r="Y480" s="4">
        <f t="shared" si="442"/>
        <v>-1.56231239442343</v>
      </c>
      <c r="Z480" t="str">
        <f t="shared" si="429"/>
        <v>-0,41861292142808+8,13843856840512i</v>
      </c>
      <c r="AA480" s="4">
        <f t="shared" si="443"/>
        <v>8.14919745187773</v>
      </c>
      <c r="AB480" s="4">
        <f t="shared" si="444"/>
        <v>1.62218755202853</v>
      </c>
      <c r="AC480" s="67" t="str">
        <f t="shared" si="445"/>
        <v>-6,06308691710912+0,40722313594599i</v>
      </c>
      <c r="AD480" s="68">
        <f t="shared" si="446"/>
        <v>15.6734230515937</v>
      </c>
      <c r="AE480" s="31">
        <f t="shared" si="447"/>
        <v>176.157538590484</v>
      </c>
      <c r="AF480" s="32" t="str">
        <f t="shared" si="448"/>
        <v>432,040091031901</v>
      </c>
      <c r="AG480" s="32" t="str">
        <f t="shared" si="430"/>
        <v>1+4346,04399327687i</v>
      </c>
      <c r="AH480" s="32">
        <f t="shared" si="449"/>
        <v>4346.04410832402</v>
      </c>
      <c r="AI480" s="32">
        <f t="shared" si="450"/>
        <v>1.57056623248755</v>
      </c>
      <c r="AJ480" s="32" t="str">
        <f t="shared" si="431"/>
        <v>1+41,0701157364665i</v>
      </c>
      <c r="AK480" s="32">
        <f t="shared" si="451"/>
        <v>41.0822882347947</v>
      </c>
      <c r="AL480" s="32">
        <f t="shared" si="452"/>
        <v>1.54645253242864</v>
      </c>
      <c r="AM480" s="32" t="str">
        <f t="shared" si="432"/>
        <v>1-12,124852885461i</v>
      </c>
      <c r="AN480" s="32">
        <f t="shared" si="453"/>
        <v>12.1660206104573</v>
      </c>
      <c r="AO480" s="32">
        <f t="shared" si="454"/>
        <v>-1.48850734309601</v>
      </c>
      <c r="AP480" s="30" t="str">
        <f t="shared" si="455"/>
        <v>2,88886073284443-49,6018383012466i</v>
      </c>
      <c r="AQ480" s="32">
        <f t="shared" si="456"/>
        <v>33.924661847431</v>
      </c>
      <c r="AR480" s="31">
        <f t="shared" si="457"/>
        <v>-86.666801775453</v>
      </c>
      <c r="AS480" t="str">
        <f t="shared" si="433"/>
        <v>-0,000201496259351621</v>
      </c>
      <c r="AT480" t="str">
        <f t="shared" si="434"/>
        <v>0,588549426402041i</v>
      </c>
      <c r="AU480">
        <f t="shared" si="458"/>
        <v>0.588549426402041</v>
      </c>
      <c r="AV480">
        <f t="shared" si="459"/>
        <v>1.5707963267949</v>
      </c>
      <c r="AW480" t="str">
        <f t="shared" si="435"/>
        <v>1+30,1326511251867i</v>
      </c>
      <c r="AX480">
        <f t="shared" si="460"/>
        <v>30.1492398549651</v>
      </c>
      <c r="AY480">
        <f t="shared" si="461"/>
        <v>1.53762191005937</v>
      </c>
      <c r="AZ480" t="str">
        <f t="shared" si="436"/>
        <v>1+1440,5971718786i</v>
      </c>
      <c r="BA480">
        <f t="shared" si="462"/>
        <v>1440.59751895685</v>
      </c>
      <c r="BB480">
        <f t="shared" si="463"/>
        <v>1.57010217033055</v>
      </c>
      <c r="BC480" s="30" t="str">
        <f t="shared" si="464"/>
        <v>-0,00053124331726038+0,016350130353299i</v>
      </c>
      <c r="BD480" s="32">
        <f t="shared" si="465"/>
        <v>-35.7249931399289</v>
      </c>
      <c r="BE480" s="31">
        <f t="shared" si="466"/>
        <v>91.860981831025</v>
      </c>
      <c r="BF480" s="30" t="str">
        <f t="shared" si="467"/>
        <v>-0,00343717694891308-0,099348596007721i</v>
      </c>
      <c r="BG480" s="68">
        <f t="shared" si="468"/>
        <v>-20.0515700883352</v>
      </c>
      <c r="BH480" s="31">
        <f t="shared" si="469"/>
        <v>-91.9814795784914</v>
      </c>
      <c r="BI480" s="30" t="str">
        <f t="shared" si="423"/>
        <v>0,809461834029821+0,0735838946759005i</v>
      </c>
      <c r="BJ480" s="68">
        <f t="shared" si="470"/>
        <v>-1.80033129249792</v>
      </c>
      <c r="BK480" s="31">
        <f t="shared" si="424"/>
        <v>5.19418005557196</v>
      </c>
      <c r="BL480" s="32">
        <f t="shared" si="471"/>
        <v>-20.0515700883352</v>
      </c>
      <c r="BM480" s="31">
        <f t="shared" si="472"/>
        <v>-91.9814795784914</v>
      </c>
      <c r="BO480">
        <f t="shared" si="473"/>
        <v>0</v>
      </c>
      <c r="BP480">
        <f t="shared" si="474"/>
        <v>0</v>
      </c>
    </row>
    <row r="481" spans="14:68">
      <c r="N481" s="7">
        <v>63</v>
      </c>
      <c r="O481" s="18">
        <f t="shared" si="422"/>
        <v>426579.518801593</v>
      </c>
      <c r="P481" s="86" t="str">
        <f t="shared" si="425"/>
        <v>54,5454545454545</v>
      </c>
      <c r="Q481" s="4" t="str">
        <f t="shared" si="426"/>
        <v>1+5458,02099029683i</v>
      </c>
      <c r="R481" s="4">
        <f t="shared" si="437"/>
        <v>5458.02108190512</v>
      </c>
      <c r="S481" s="4">
        <f t="shared" si="438"/>
        <v>1.57061311020585</v>
      </c>
      <c r="T481" s="4" t="str">
        <f t="shared" si="427"/>
        <v>1+42,0267616252857i</v>
      </c>
      <c r="U481" s="4">
        <f t="shared" si="439"/>
        <v>42.0386571230408</v>
      </c>
      <c r="V481" s="4">
        <f t="shared" si="440"/>
        <v>1.54700645335418</v>
      </c>
      <c r="W481" t="str">
        <f t="shared" si="428"/>
        <v>1-120,612517419506i</v>
      </c>
      <c r="X481" s="4">
        <f t="shared" si="441"/>
        <v>120.616662854975</v>
      </c>
      <c r="Y481" s="4">
        <f t="shared" si="442"/>
        <v>-1.56250550334883</v>
      </c>
      <c r="Z481" t="str">
        <f t="shared" si="429"/>
        <v>-0,48547008866122+8,32800715515637i</v>
      </c>
      <c r="AA481" s="4">
        <f t="shared" si="443"/>
        <v>8.3421450708628</v>
      </c>
      <c r="AB481" s="4">
        <f t="shared" si="444"/>
        <v>1.62902409938791</v>
      </c>
      <c r="AC481" s="67" t="str">
        <f t="shared" si="445"/>
        <v>-6,05795754161017+0,446329013818915i</v>
      </c>
      <c r="AD481" s="68">
        <f t="shared" si="446"/>
        <v>15.670035228988</v>
      </c>
      <c r="AE481" s="31">
        <f t="shared" si="447"/>
        <v>175.786261766106</v>
      </c>
      <c r="AF481" s="32" t="str">
        <f t="shared" si="448"/>
        <v>432,040091031901</v>
      </c>
      <c r="AG481" s="32" t="str">
        <f t="shared" si="430"/>
        <v>1+4447,27636246408i</v>
      </c>
      <c r="AH481" s="32">
        <f t="shared" si="449"/>
        <v>4447.27647489244</v>
      </c>
      <c r="AI481" s="32">
        <f t="shared" si="450"/>
        <v>1.57057147007324</v>
      </c>
      <c r="AJ481" s="32" t="str">
        <f t="shared" si="431"/>
        <v>1+42,0267616252857i</v>
      </c>
      <c r="AK481" s="32">
        <f t="shared" si="451"/>
        <v>42.0386571230408</v>
      </c>
      <c r="AL481" s="32">
        <f t="shared" si="452"/>
        <v>1.54700645335418</v>
      </c>
      <c r="AM481" s="32" t="str">
        <f t="shared" si="432"/>
        <v>1-12,4072769901273i</v>
      </c>
      <c r="AN481" s="32">
        <f t="shared" si="453"/>
        <v>12.4475106872717</v>
      </c>
      <c r="AO481" s="32">
        <f t="shared" si="454"/>
        <v>-1.49037230925946</v>
      </c>
      <c r="AP481" s="30" t="str">
        <f t="shared" si="455"/>
        <v>2,88885971024355-50,7526657491708i</v>
      </c>
      <c r="AQ481" s="32">
        <f t="shared" si="456"/>
        <v>34.123225241981</v>
      </c>
      <c r="AR481" s="31">
        <f t="shared" si="457"/>
        <v>-86.7422192258909</v>
      </c>
      <c r="AS481" t="str">
        <f t="shared" si="433"/>
        <v>-0,000201496259351621</v>
      </c>
      <c r="AT481" t="str">
        <f t="shared" si="434"/>
        <v>0,602258503648066i</v>
      </c>
      <c r="AU481">
        <f t="shared" si="458"/>
        <v>0.602258503648066</v>
      </c>
      <c r="AV481">
        <f t="shared" si="459"/>
        <v>1.5707963267949</v>
      </c>
      <c r="AW481" t="str">
        <f t="shared" si="435"/>
        <v>1+30,8345307352443i</v>
      </c>
      <c r="AX481">
        <f t="shared" si="460"/>
        <v>30.8507420601632</v>
      </c>
      <c r="AY481">
        <f t="shared" si="461"/>
        <v>1.5383765168096</v>
      </c>
      <c r="AZ481" t="str">
        <f t="shared" si="436"/>
        <v>1+1474,15299068285i</v>
      </c>
      <c r="BA481">
        <f t="shared" si="462"/>
        <v>1474.15332986063</v>
      </c>
      <c r="BB481">
        <f t="shared" si="463"/>
        <v>1.57011797125586</v>
      </c>
      <c r="BC481" s="30" t="str">
        <f t="shared" si="464"/>
        <v>-0,000507358550900086+0,0159787305597127i</v>
      </c>
      <c r="BD481" s="32">
        <f t="shared" si="465"/>
        <v>-35.9247781905795</v>
      </c>
      <c r="BE481" s="31">
        <f t="shared" si="466"/>
        <v>91.8186513753775</v>
      </c>
      <c r="BF481" s="30" t="str">
        <f t="shared" si="467"/>
        <v>-0,00405821449306915-0,0970249201412443i</v>
      </c>
      <c r="BG481" s="68">
        <f t="shared" si="468"/>
        <v>-20.2547429615914</v>
      </c>
      <c r="BH481" s="31">
        <f t="shared" si="469"/>
        <v>-92.3950868585164</v>
      </c>
      <c r="BI481" s="30" t="str">
        <f t="shared" si="423"/>
        <v>0,809497483516817+0,0719101098836071i</v>
      </c>
      <c r="BJ481" s="68">
        <f t="shared" si="470"/>
        <v>-1.80155294859844</v>
      </c>
      <c r="BK481" s="31">
        <f t="shared" si="424"/>
        <v>5.07643214948655</v>
      </c>
      <c r="BL481" s="32">
        <f t="shared" si="471"/>
        <v>-20.2547429615914</v>
      </c>
      <c r="BM481" s="31">
        <f t="shared" si="472"/>
        <v>-92.3950868585164</v>
      </c>
      <c r="BO481">
        <f t="shared" si="473"/>
        <v>0</v>
      </c>
      <c r="BP481">
        <f t="shared" si="474"/>
        <v>0</v>
      </c>
    </row>
    <row r="482" spans="14:68">
      <c r="N482" s="7">
        <v>64</v>
      </c>
      <c r="O482" s="18">
        <f t="shared" si="422"/>
        <v>436515.832240166</v>
      </c>
      <c r="P482" s="86" t="str">
        <f t="shared" si="425"/>
        <v>54,5454545454545</v>
      </c>
      <c r="Q482" s="4" t="str">
        <f t="shared" si="426"/>
        <v>1+5585,154631092i</v>
      </c>
      <c r="R482" s="4">
        <f t="shared" si="437"/>
        <v>5585.15472061504</v>
      </c>
      <c r="S482" s="4">
        <f t="shared" si="438"/>
        <v>1.57061728072449</v>
      </c>
      <c r="T482" s="4" t="str">
        <f t="shared" si="427"/>
        <v>1+43,0056906594084i</v>
      </c>
      <c r="U482" s="4">
        <f t="shared" si="439"/>
        <v>43.017315456601</v>
      </c>
      <c r="V482" s="4">
        <f t="shared" si="440"/>
        <v>1.54754777960974</v>
      </c>
      <c r="W482" t="str">
        <f t="shared" si="428"/>
        <v>1-123,421943856721i</v>
      </c>
      <c r="X482" s="4">
        <f t="shared" si="441"/>
        <v>123.425994933691</v>
      </c>
      <c r="Y482" s="4">
        <f t="shared" si="442"/>
        <v>-1.56269421717595</v>
      </c>
      <c r="Z482" t="str">
        <f t="shared" si="429"/>
        <v>-0,55547813711286+8,52199136153547i</v>
      </c>
      <c r="AA482" s="4">
        <f t="shared" si="443"/>
        <v>8.540075686251</v>
      </c>
      <c r="AB482" s="4">
        <f t="shared" si="444"/>
        <v>1.63588597944265</v>
      </c>
      <c r="AC482" s="67" t="str">
        <f t="shared" si="445"/>
        <v>-6,05227097161571+0,485564717030788i</v>
      </c>
      <c r="AD482" s="68">
        <f t="shared" si="446"/>
        <v>15.6662315621407</v>
      </c>
      <c r="AE482" s="31">
        <f t="shared" si="447"/>
        <v>175.413069250282</v>
      </c>
      <c r="AF482" s="32" t="str">
        <f t="shared" si="448"/>
        <v>432,040091031901</v>
      </c>
      <c r="AG482" s="32" t="str">
        <f t="shared" si="430"/>
        <v>1+4550,86673644533i</v>
      </c>
      <c r="AH482" s="32">
        <f t="shared" si="449"/>
        <v>4550.86684631451</v>
      </c>
      <c r="AI482" s="32">
        <f t="shared" si="450"/>
        <v>1.57057658843695</v>
      </c>
      <c r="AJ482" s="32" t="str">
        <f t="shared" si="431"/>
        <v>1+43,0056906594084i</v>
      </c>
      <c r="AK482" s="32">
        <f t="shared" si="451"/>
        <v>43.017315456601</v>
      </c>
      <c r="AL482" s="32">
        <f t="shared" si="452"/>
        <v>1.54754777960974</v>
      </c>
      <c r="AM482" s="32" t="str">
        <f t="shared" si="432"/>
        <v>1-12,6962795972835i</v>
      </c>
      <c r="AN482" s="32">
        <f t="shared" si="453"/>
        <v>12.7356003239893</v>
      </c>
      <c r="AO482" s="32">
        <f t="shared" si="454"/>
        <v>-1.4921953655226</v>
      </c>
      <c r="AP482" s="30" t="str">
        <f t="shared" si="455"/>
        <v>2,88885873366729-51,9304029322453i</v>
      </c>
      <c r="AQ482" s="32">
        <f t="shared" si="456"/>
        <v>34.3218529164558</v>
      </c>
      <c r="AR482" s="31">
        <f t="shared" si="457"/>
        <v>-86.8159502064389</v>
      </c>
      <c r="AS482" t="str">
        <f t="shared" si="433"/>
        <v>-0,000201496259351621</v>
      </c>
      <c r="AT482" t="str">
        <f t="shared" si="434"/>
        <v>0,616286906324558i</v>
      </c>
      <c r="AU482">
        <f t="shared" si="458"/>
        <v>0.616286906324558</v>
      </c>
      <c r="AV482">
        <f t="shared" si="459"/>
        <v>1.5707963267949</v>
      </c>
      <c r="AW482" t="str">
        <f t="shared" si="435"/>
        <v>1+31,552759221641i</v>
      </c>
      <c r="AX482">
        <f t="shared" si="460"/>
        <v>31.5686017190951</v>
      </c>
      <c r="AY482">
        <f t="shared" si="461"/>
        <v>1.53911398230426</v>
      </c>
      <c r="AZ482" t="str">
        <f t="shared" si="436"/>
        <v>1+1508,49042491547i</v>
      </c>
      <c r="BA482">
        <f t="shared" si="462"/>
        <v>1508.49075637263</v>
      </c>
      <c r="BB482">
        <f t="shared" si="463"/>
        <v>1.57013341250854</v>
      </c>
      <c r="BC482" s="30" t="str">
        <f t="shared" si="464"/>
        <v>-0,000484546567901684+0,0156157332255971i</v>
      </c>
      <c r="BD482" s="32">
        <f t="shared" si="465"/>
        <v>-36.1245729056041</v>
      </c>
      <c r="BE482" s="31">
        <f t="shared" si="466"/>
        <v>91.7772824336058</v>
      </c>
      <c r="BF482" s="30" t="str">
        <f t="shared" si="467"/>
        <v>-0,00464984195760795-0,0947459276189077i</v>
      </c>
      <c r="BG482" s="68">
        <f t="shared" si="468"/>
        <v>-20.4583413434635</v>
      </c>
      <c r="BH482" s="31">
        <f t="shared" si="469"/>
        <v>-92.8096483161124</v>
      </c>
      <c r="BI482" s="30" t="str">
        <f t="shared" si="423"/>
        <v>0,809531531903157+0,0702743458219557i</v>
      </c>
      <c r="BJ482" s="68">
        <f t="shared" si="470"/>
        <v>-1.80271998914837</v>
      </c>
      <c r="BK482" s="31">
        <f t="shared" si="424"/>
        <v>4.96133222716692</v>
      </c>
      <c r="BL482" s="32">
        <f t="shared" si="471"/>
        <v>-20.4583413434635</v>
      </c>
      <c r="BM482" s="31">
        <f t="shared" si="472"/>
        <v>-92.8096483161124</v>
      </c>
      <c r="BO482">
        <f t="shared" si="473"/>
        <v>0</v>
      </c>
      <c r="BP482">
        <f t="shared" si="474"/>
        <v>0</v>
      </c>
    </row>
    <row r="483" spans="14:68">
      <c r="N483" s="7">
        <v>65</v>
      </c>
      <c r="O483" s="18">
        <f t="shared" si="422"/>
        <v>446683.592150964</v>
      </c>
      <c r="P483" s="86" t="str">
        <f t="shared" si="425"/>
        <v>54,5454545454545</v>
      </c>
      <c r="Q483" s="4" t="str">
        <f t="shared" si="426"/>
        <v>1+5715,24959480086i</v>
      </c>
      <c r="R483" s="4">
        <f t="shared" si="437"/>
        <v>5715.2496822861</v>
      </c>
      <c r="S483" s="4">
        <f t="shared" si="438"/>
        <v>1.57062135631054</v>
      </c>
      <c r="T483" s="4" t="str">
        <f t="shared" si="427"/>
        <v>1+44,0074218799667i</v>
      </c>
      <c r="U483" s="4">
        <f t="shared" si="439"/>
        <v>44.0187821335549</v>
      </c>
      <c r="V483" s="4">
        <f t="shared" si="440"/>
        <v>1.54807679694392</v>
      </c>
      <c r="W483" t="str">
        <f t="shared" si="428"/>
        <v>1-126,296810242251i</v>
      </c>
      <c r="X483" s="4">
        <f t="shared" si="441"/>
        <v>126.300769108375</v>
      </c>
      <c r="Y483" s="4">
        <f t="shared" si="442"/>
        <v>-1.56287863590955</v>
      </c>
      <c r="Z483" t="str">
        <f t="shared" si="429"/>
        <v>-0,62878556323992+8,7204940405364i</v>
      </c>
      <c r="AA483" s="4">
        <f t="shared" si="443"/>
        <v>8.74313374000248</v>
      </c>
      <c r="AB483" s="4">
        <f t="shared" si="444"/>
        <v>1.64277610841462</v>
      </c>
      <c r="AC483" s="67" t="str">
        <f t="shared" si="445"/>
        <v>-6,04601825670042+0,524938515275148i</v>
      </c>
      <c r="AD483" s="68">
        <f t="shared" si="446"/>
        <v>15.6620050671025</v>
      </c>
      <c r="AE483" s="31">
        <f t="shared" si="447"/>
        <v>175.037804471446</v>
      </c>
      <c r="AF483" s="32" t="str">
        <f t="shared" si="448"/>
        <v>432,040091031901</v>
      </c>
      <c r="AG483" s="32" t="str">
        <f t="shared" si="430"/>
        <v>1+4656,87004020811i</v>
      </c>
      <c r="AH483" s="32">
        <f t="shared" si="449"/>
        <v>4656.87014757636</v>
      </c>
      <c r="AI483" s="32">
        <f t="shared" si="450"/>
        <v>1.57058159029248</v>
      </c>
      <c r="AJ483" s="32" t="str">
        <f t="shared" si="431"/>
        <v>1+44,0074218799667i</v>
      </c>
      <c r="AK483" s="32">
        <f t="shared" si="451"/>
        <v>44.0187821335549</v>
      </c>
      <c r="AL483" s="32">
        <f t="shared" si="452"/>
        <v>1.54807679694392</v>
      </c>
      <c r="AM483" s="32" t="str">
        <f t="shared" si="432"/>
        <v>1-12,9920139399373i</v>
      </c>
      <c r="AN483" s="32">
        <f t="shared" si="453"/>
        <v>13.0304422877938</v>
      </c>
      <c r="AO483" s="32">
        <f t="shared" si="454"/>
        <v>-1.49397742999504</v>
      </c>
      <c r="AP483" s="30" t="str">
        <f t="shared" si="455"/>
        <v>2,88885780104418-53,1356743023155i</v>
      </c>
      <c r="AQ483" s="32">
        <f t="shared" si="456"/>
        <v>34.5205420108403</v>
      </c>
      <c r="AR483" s="31">
        <f t="shared" si="457"/>
        <v>-86.8880311042041</v>
      </c>
      <c r="AS483" t="str">
        <f t="shared" si="433"/>
        <v>-0,000201496259351621</v>
      </c>
      <c r="AT483" t="str">
        <f t="shared" si="434"/>
        <v>0,630642072476307i</v>
      </c>
      <c r="AU483">
        <f t="shared" si="458"/>
        <v>0.630642072476307</v>
      </c>
      <c r="AV483">
        <f t="shared" si="459"/>
        <v>1.5707963267949</v>
      </c>
      <c r="AW483" t="str">
        <f t="shared" si="435"/>
        <v>1+32,2877173986273i</v>
      </c>
      <c r="AX483">
        <f t="shared" si="460"/>
        <v>32.3031994516584</v>
      </c>
      <c r="AY483">
        <f t="shared" si="461"/>
        <v>1.53983469434686</v>
      </c>
      <c r="AZ483" t="str">
        <f t="shared" si="436"/>
        <v>1+1543,62768073863i</v>
      </c>
      <c r="BA483">
        <f t="shared" si="462"/>
        <v>1543.6280046509</v>
      </c>
      <c r="BB483">
        <f t="shared" si="463"/>
        <v>1.57014850227569</v>
      </c>
      <c r="BC483" s="30" t="str">
        <f t="shared" si="464"/>
        <v>-0,000462759279072514+0,015260950526234i</v>
      </c>
      <c r="BD483" s="32">
        <f t="shared" si="465"/>
        <v>-36.324376850908</v>
      </c>
      <c r="BE483" s="31">
        <f t="shared" si="466"/>
        <v>91.736853255292</v>
      </c>
      <c r="BF483" s="30" t="str">
        <f t="shared" si="467"/>
        <v>-0,00521320966119882-0,0925109056650988i</v>
      </c>
      <c r="BG483" s="68">
        <f t="shared" si="468"/>
        <v>-20.6623717838055</v>
      </c>
      <c r="BH483" s="31">
        <f t="shared" si="469"/>
        <v>-93.2253422732621</v>
      </c>
      <c r="BI483" s="30" t="str">
        <f t="shared" si="423"/>
        <v>0,809564050952366+0,0686757423122318i</v>
      </c>
      <c r="BJ483" s="68">
        <f t="shared" si="470"/>
        <v>-1.80383484006768</v>
      </c>
      <c r="BK483" s="31">
        <f t="shared" si="424"/>
        <v>4.84882215108785</v>
      </c>
      <c r="BL483" s="32">
        <f t="shared" si="471"/>
        <v>-20.6623717838055</v>
      </c>
      <c r="BM483" s="31">
        <f t="shared" si="472"/>
        <v>-93.2253422732621</v>
      </c>
      <c r="BO483">
        <f t="shared" si="473"/>
        <v>0</v>
      </c>
      <c r="BP483">
        <f t="shared" si="474"/>
        <v>0</v>
      </c>
    </row>
    <row r="484" spans="14:68">
      <c r="N484" s="7">
        <v>66</v>
      </c>
      <c r="O484" s="18">
        <f t="shared" ref="O484:O518" si="475">10^(5+(N484/100))</f>
        <v>457088.189614875</v>
      </c>
      <c r="P484" s="86" t="str">
        <f t="shared" si="425"/>
        <v>54,5454545454545</v>
      </c>
      <c r="Q484" s="4" t="str">
        <f t="shared" si="426"/>
        <v>1+5848,37485949512i</v>
      </c>
      <c r="R484" s="4">
        <f t="shared" si="437"/>
        <v>5848.37494498896</v>
      </c>
      <c r="S484" s="4">
        <f t="shared" si="438"/>
        <v>1.57062533912494</v>
      </c>
      <c r="T484" s="4" t="str">
        <f t="shared" si="427"/>
        <v>1+45,0324864181125i</v>
      </c>
      <c r="U484" s="4">
        <f t="shared" si="439"/>
        <v>45.0435881452342</v>
      </c>
      <c r="V484" s="4">
        <f t="shared" si="440"/>
        <v>1.54859378466363</v>
      </c>
      <c r="W484" t="str">
        <f t="shared" si="428"/>
        <v>1-129,238640868308i</v>
      </c>
      <c r="X484" s="4">
        <f t="shared" si="441"/>
        <v>129.242509622366</v>
      </c>
      <c r="Y484" s="4">
        <f t="shared" si="442"/>
        <v>-1.56305885728069</v>
      </c>
      <c r="Z484" t="str">
        <f t="shared" si="429"/>
        <v>-0,70554786192167+8,92362044090695i</v>
      </c>
      <c r="AA484" s="4">
        <f t="shared" si="443"/>
        <v>8.95146912851933</v>
      </c>
      <c r="AB484" s="4">
        <f t="shared" si="444"/>
        <v>1.64969739143253</v>
      </c>
      <c r="AC484" s="67" t="str">
        <f t="shared" si="445"/>
        <v>-6,03918964001967+0,564458298853532i</v>
      </c>
      <c r="AD484" s="68">
        <f t="shared" si="446"/>
        <v>15.6573480100854</v>
      </c>
      <c r="AE484" s="31">
        <f t="shared" si="447"/>
        <v>174.660311257703</v>
      </c>
      <c r="AF484" s="32" t="str">
        <f t="shared" si="448"/>
        <v>432,040091031901</v>
      </c>
      <c r="AG484" s="32" t="str">
        <f t="shared" si="430"/>
        <v>1+4765,34247810714i</v>
      </c>
      <c r="AH484" s="32">
        <f t="shared" si="449"/>
        <v>4765.34258303139</v>
      </c>
      <c r="AI484" s="32">
        <f t="shared" si="450"/>
        <v>1.5705864782919</v>
      </c>
      <c r="AJ484" s="32" t="str">
        <f t="shared" si="431"/>
        <v>1+45,0324864181125i</v>
      </c>
      <c r="AK484" s="32">
        <f t="shared" si="451"/>
        <v>45.0435881452342</v>
      </c>
      <c r="AL484" s="32">
        <f t="shared" si="452"/>
        <v>1.54859378466363</v>
      </c>
      <c r="AM484" s="32" t="str">
        <f t="shared" si="432"/>
        <v>1-13,2946368203517i</v>
      </c>
      <c r="AN484" s="32">
        <f t="shared" si="453"/>
        <v>13.3321929248362</v>
      </c>
      <c r="AO484" s="32">
        <f t="shared" si="454"/>
        <v>-1.49571940225048</v>
      </c>
      <c r="AP484" s="30" t="str">
        <f t="shared" si="455"/>
        <v>2,88885691039604-54,3691189102164i</v>
      </c>
      <c r="AQ484" s="32">
        <f t="shared" si="456"/>
        <v>34.7192897909584</v>
      </c>
      <c r="AR484" s="31">
        <f t="shared" si="457"/>
        <v>-86.9584976098067</v>
      </c>
      <c r="AS484" t="str">
        <f t="shared" si="433"/>
        <v>-0,000201496259351621</v>
      </c>
      <c r="AT484" t="str">
        <f t="shared" si="434"/>
        <v>0,645331613402415i</v>
      </c>
      <c r="AU484">
        <f t="shared" si="458"/>
        <v>0.645331613402415</v>
      </c>
      <c r="AV484">
        <f t="shared" si="459"/>
        <v>1.5707963267949</v>
      </c>
      <c r="AW484" t="str">
        <f t="shared" si="435"/>
        <v>1+33,0397949507566i</v>
      </c>
      <c r="AX484">
        <f t="shared" si="460"/>
        <v>33.0549247524184</v>
      </c>
      <c r="AY484">
        <f t="shared" si="461"/>
        <v>1.54053903207193</v>
      </c>
      <c r="AZ484" t="str">
        <f t="shared" si="436"/>
        <v>1+1579,58338839042i</v>
      </c>
      <c r="BA484">
        <f t="shared" si="462"/>
        <v>1579.58370492955</v>
      </c>
      <c r="BB484">
        <f t="shared" si="463"/>
        <v>1.57016324855809</v>
      </c>
      <c r="BC484" s="30" t="str">
        <f t="shared" si="464"/>
        <v>-0,000441950742555989+0,0149141986836303i</v>
      </c>
      <c r="BD484" s="32">
        <f t="shared" si="465"/>
        <v>-36.5241896118571</v>
      </c>
      <c r="BE484" s="31">
        <f t="shared" si="466"/>
        <v>91.6973425760393</v>
      </c>
      <c r="BF484" s="30" t="str">
        <f t="shared" si="467"/>
        <v>-0,00574941887188242-0,0903191369436953i</v>
      </c>
      <c r="BG484" s="68">
        <f t="shared" si="468"/>
        <v>-20.8668416017717</v>
      </c>
      <c r="BH484" s="31">
        <f t="shared" si="469"/>
        <v>-93.6423461662572</v>
      </c>
      <c r="BI484" s="30" t="str">
        <f t="shared" si="423"/>
        <v>0,809595109224201+0,0671134584047099i</v>
      </c>
      <c r="BJ484" s="68">
        <f t="shared" si="470"/>
        <v>-1.80489982089876</v>
      </c>
      <c r="BK484" s="31">
        <f t="shared" si="424"/>
        <v>4.73884496623263</v>
      </c>
      <c r="BL484" s="32">
        <f t="shared" si="471"/>
        <v>-20.8668416017717</v>
      </c>
      <c r="BM484" s="31">
        <f t="shared" si="472"/>
        <v>-93.6423461662572</v>
      </c>
      <c r="BO484">
        <f t="shared" si="473"/>
        <v>0</v>
      </c>
      <c r="BP484">
        <f t="shared" si="474"/>
        <v>0</v>
      </c>
    </row>
    <row r="485" spans="14:68">
      <c r="N485" s="7">
        <v>67</v>
      </c>
      <c r="O485" s="18">
        <f t="shared" si="475"/>
        <v>467735.141287199</v>
      </c>
      <c r="P485" s="86" t="str">
        <f t="shared" si="425"/>
        <v>54,5454545454545</v>
      </c>
      <c r="Q485" s="4" t="str">
        <f t="shared" si="426"/>
        <v>1+5984,60100995231i</v>
      </c>
      <c r="R485" s="4">
        <f t="shared" si="437"/>
        <v>5984.60109350007</v>
      </c>
      <c r="S485" s="4">
        <f t="shared" si="438"/>
        <v>1.57062923127942</v>
      </c>
      <c r="T485" s="4" t="str">
        <f t="shared" si="427"/>
        <v>1+46,0814277766329i</v>
      </c>
      <c r="U485" s="4">
        <f t="shared" si="439"/>
        <v>46.0922768577669</v>
      </c>
      <c r="V485" s="4">
        <f t="shared" si="440"/>
        <v>1.54909901577654</v>
      </c>
      <c r="W485" t="str">
        <f t="shared" si="428"/>
        <v>1-132,248995532429i</v>
      </c>
      <c r="X485" s="4">
        <f t="shared" si="441"/>
        <v>132.25277622544</v>
      </c>
      <c r="Y485" s="4">
        <f t="shared" si="442"/>
        <v>-1.56323497679827</v>
      </c>
      <c r="Z485" t="str">
        <f t="shared" si="429"/>
        <v>-0,78592785628537+9,1314782629534i</v>
      </c>
      <c r="AA485" s="4">
        <f t="shared" si="443"/>
        <v>9.16523746894077</v>
      </c>
      <c r="AB485" s="4">
        <f t="shared" si="444"/>
        <v>1.65665272105714</v>
      </c>
      <c r="AC485" s="67" t="str">
        <f t="shared" si="445"/>
        <v>-6,03177456191938+0,604131537130912i</v>
      </c>
      <c r="AD485" s="68">
        <f t="shared" si="446"/>
        <v>15.6522519002063</v>
      </c>
      <c r="AE485" s="31">
        <f t="shared" si="447"/>
        <v>174.280433926468</v>
      </c>
      <c r="AF485" s="32" t="str">
        <f t="shared" si="448"/>
        <v>432,040091031901</v>
      </c>
      <c r="AG485" s="32" t="str">
        <f t="shared" si="430"/>
        <v>1+4876,34156366485i</v>
      </c>
      <c r="AH485" s="32">
        <f t="shared" si="449"/>
        <v>4876.34166620073</v>
      </c>
      <c r="AI485" s="32">
        <f t="shared" si="450"/>
        <v>1.57059125502687</v>
      </c>
      <c r="AJ485" s="32" t="str">
        <f t="shared" si="431"/>
        <v>1+46,0814277766329i</v>
      </c>
      <c r="AK485" s="32">
        <f t="shared" si="451"/>
        <v>46.0922768577669</v>
      </c>
      <c r="AL485" s="32">
        <f t="shared" si="452"/>
        <v>1.54909901577654</v>
      </c>
      <c r="AM485" s="32" t="str">
        <f t="shared" si="432"/>
        <v>1-13,6043086931836i</v>
      </c>
      <c r="AN485" s="32">
        <f t="shared" si="453"/>
        <v>13.6410122432109</v>
      </c>
      <c r="AO485" s="32">
        <f t="shared" si="454"/>
        <v>-1.49742216359435</v>
      </c>
      <c r="AP485" s="30" t="str">
        <f t="shared" si="455"/>
        <v>2,88885605983365-55,6313907446072i</v>
      </c>
      <c r="AQ485" s="32">
        <f t="shared" si="456"/>
        <v>34.9180936430592</v>
      </c>
      <c r="AR485" s="31">
        <f t="shared" si="457"/>
        <v>-87.0273847246336</v>
      </c>
      <c r="AS485" t="str">
        <f t="shared" si="433"/>
        <v>-0,000201496259351621</v>
      </c>
      <c r="AT485" t="str">
        <f t="shared" si="434"/>
        <v>0,660363317691926i</v>
      </c>
      <c r="AU485">
        <f t="shared" si="458"/>
        <v>0.660363317691926</v>
      </c>
      <c r="AV485">
        <f t="shared" si="459"/>
        <v>1.5707963267949</v>
      </c>
      <c r="AW485" t="str">
        <f t="shared" si="435"/>
        <v>1+33,8093906395023i</v>
      </c>
      <c r="AX485">
        <f t="shared" si="460"/>
        <v>33.8241761971296</v>
      </c>
      <c r="AY485">
        <f t="shared" si="461"/>
        <v>1.5412273661317</v>
      </c>
      <c r="AZ485" t="str">
        <f t="shared" si="436"/>
        <v>1+1616,37661206301i</v>
      </c>
      <c r="BA485">
        <f t="shared" si="462"/>
        <v>1616.37692139683</v>
      </c>
      <c r="BB485">
        <f t="shared" si="463"/>
        <v>1.5701776591744</v>
      </c>
      <c r="BC485" s="30" t="str">
        <f t="shared" si="464"/>
        <v>-0,000422077068679634+0,0145752978895783i</v>
      </c>
      <c r="BD485" s="32">
        <f t="shared" si="465"/>
        <v>-36.7240107924091</v>
      </c>
      <c r="BE485" s="31">
        <f t="shared" si="466"/>
        <v>91.6587296070135</v>
      </c>
      <c r="BF485" s="30" t="str">
        <f t="shared" si="467"/>
        <v>-0,00625952339214056-0,0881699011110448i</v>
      </c>
      <c r="BG485" s="68">
        <f t="shared" si="468"/>
        <v>-21.0717588922029</v>
      </c>
      <c r="BH485" s="31">
        <f t="shared" si="469"/>
        <v>-94.0608364665187</v>
      </c>
      <c r="BI485" s="30" t="str">
        <f t="shared" si="423"/>
        <v>0,809624772216607+0,065586671964244i</v>
      </c>
      <c r="BJ485" s="68">
        <f t="shared" si="470"/>
        <v>-1.8059171493499</v>
      </c>
      <c r="BK485" s="31">
        <f t="shared" si="424"/>
        <v>4.6313448823799</v>
      </c>
      <c r="BL485" s="32">
        <f t="shared" si="471"/>
        <v>-21.0717588922029</v>
      </c>
      <c r="BM485" s="31">
        <f t="shared" si="472"/>
        <v>-94.0608364665187</v>
      </c>
      <c r="BO485">
        <f t="shared" si="473"/>
        <v>0</v>
      </c>
      <c r="BP485">
        <f t="shared" si="474"/>
        <v>0</v>
      </c>
    </row>
    <row r="486" spans="14:68">
      <c r="N486" s="7">
        <v>68</v>
      </c>
      <c r="O486" s="18">
        <f t="shared" si="475"/>
        <v>478630.092322639</v>
      </c>
      <c r="P486" s="86" t="str">
        <f t="shared" si="425"/>
        <v>54,5454545454545</v>
      </c>
      <c r="Q486" s="4" t="str">
        <f t="shared" si="426"/>
        <v>1+6124,00027508051i</v>
      </c>
      <c r="R486" s="4">
        <f t="shared" si="437"/>
        <v>6124.00035672649</v>
      </c>
      <c r="S486" s="4">
        <f t="shared" si="438"/>
        <v>1.57063303483765</v>
      </c>
      <c r="T486" s="4" t="str">
        <f t="shared" si="427"/>
        <v>1+47,15480211812i</v>
      </c>
      <c r="U486" s="4">
        <f t="shared" si="439"/>
        <v>47.1654043001759</v>
      </c>
      <c r="V486" s="4">
        <f t="shared" si="440"/>
        <v>1.54959275713057</v>
      </c>
      <c r="W486" t="str">
        <f t="shared" si="428"/>
        <v>1-135,329470364503i</v>
      </c>
      <c r="X486" s="4">
        <f t="shared" si="441"/>
        <v>135.333165000812</v>
      </c>
      <c r="Y486" s="4">
        <f t="shared" si="442"/>
        <v>-1.56340708779946</v>
      </c>
      <c r="Z486" t="str">
        <f t="shared" si="429"/>
        <v>-0,87009604307574+9,34417771564422i</v>
      </c>
      <c r="AA486" s="4">
        <f t="shared" si="443"/>
        <v>9.3846003807151</v>
      </c>
      <c r="AB486" s="4">
        <f t="shared" si="444"/>
        <v>1.66364497571177</v>
      </c>
      <c r="AC486" s="67" t="str">
        <f t="shared" si="445"/>
        <v>-6,02376166455849+0,643965235853622i</v>
      </c>
      <c r="AD486" s="68">
        <f t="shared" si="446"/>
        <v>15.6467074817438</v>
      </c>
      <c r="AE486" s="31">
        <f t="shared" si="447"/>
        <v>173.898017379425</v>
      </c>
      <c r="AF486" s="32" t="str">
        <f t="shared" si="448"/>
        <v>432,040091031901</v>
      </c>
      <c r="AG486" s="32" t="str">
        <f t="shared" si="430"/>
        <v>1+4989,9261500656i</v>
      </c>
      <c r="AH486" s="32">
        <f t="shared" si="449"/>
        <v>4989.92625026748</v>
      </c>
      <c r="AI486" s="32">
        <f t="shared" si="450"/>
        <v>1.57059592303008</v>
      </c>
      <c r="AJ486" s="32" t="str">
        <f t="shared" si="431"/>
        <v>1+47,15480211812i</v>
      </c>
      <c r="AK486" s="32">
        <f t="shared" si="451"/>
        <v>47.1654043001759</v>
      </c>
      <c r="AL486" s="32">
        <f t="shared" si="452"/>
        <v>1.54959275713057</v>
      </c>
      <c r="AM486" s="32" t="str">
        <f t="shared" si="432"/>
        <v>1-13,9211937505589i</v>
      </c>
      <c r="AN486" s="32">
        <f t="shared" si="453"/>
        <v>13.9570639978686</v>
      </c>
      <c r="AO486" s="32">
        <f t="shared" si="454"/>
        <v>-1.49908657733529</v>
      </c>
      <c r="AP486" s="30" t="str">
        <f t="shared" si="455"/>
        <v>2,88885524755287-56,9231590787235i</v>
      </c>
      <c r="AQ486" s="32">
        <f t="shared" si="456"/>
        <v>35.1169510686261</v>
      </c>
      <c r="AR486" s="31">
        <f t="shared" si="457"/>
        <v>-87.0947267684796</v>
      </c>
      <c r="AS486" t="str">
        <f t="shared" si="433"/>
        <v>-0,000201496259351621</v>
      </c>
      <c r="AT486" t="str">
        <f t="shared" si="434"/>
        <v>0,675745155353417i</v>
      </c>
      <c r="AU486">
        <f t="shared" si="458"/>
        <v>0.675745155353417</v>
      </c>
      <c r="AV486">
        <f t="shared" si="459"/>
        <v>1.5707963267949</v>
      </c>
      <c r="AW486" t="str">
        <f t="shared" si="435"/>
        <v>1+34,5969125146852i</v>
      </c>
      <c r="AX486">
        <f t="shared" si="460"/>
        <v>34.6113616540693</v>
      </c>
      <c r="AY486">
        <f t="shared" si="461"/>
        <v>1.54190005887944</v>
      </c>
      <c r="AZ486" t="str">
        <f t="shared" si="436"/>
        <v>1+1654,02686001058i</v>
      </c>
      <c r="BA486">
        <f t="shared" si="462"/>
        <v>1654.0271623031</v>
      </c>
      <c r="BB486">
        <f t="shared" si="463"/>
        <v>1.57019174176527</v>
      </c>
      <c r="BC486" s="30" t="str">
        <f t="shared" si="464"/>
        <v>-0,000403096328954801+0,014244072229463i</v>
      </c>
      <c r="BD486" s="32">
        <f t="shared" si="465"/>
        <v>-36.9238400142825</v>
      </c>
      <c r="BE486" s="31">
        <f t="shared" si="466"/>
        <v>91.6209940246807</v>
      </c>
      <c r="BF486" s="30" t="str">
        <f t="shared" si="467"/>
        <v>-0,00674453111927998-0,0860624762655885i</v>
      </c>
      <c r="BG486" s="68">
        <f t="shared" si="468"/>
        <v>-21.2771325325387</v>
      </c>
      <c r="BH486" s="31">
        <f t="shared" si="469"/>
        <v>-94.4809885958946</v>
      </c>
      <c r="BI486" s="30" t="str">
        <f t="shared" si="423"/>
        <v>0,80965310250138+0,0640945792637499i</v>
      </c>
      <c r="BJ486" s="68">
        <f t="shared" si="470"/>
        <v>-1.80688894565647</v>
      </c>
      <c r="BK486" s="31">
        <f t="shared" si="424"/>
        <v>4.52626725620112</v>
      </c>
      <c r="BL486" s="32">
        <f t="shared" si="471"/>
        <v>-21.2771325325387</v>
      </c>
      <c r="BM486" s="31">
        <f t="shared" si="472"/>
        <v>-94.4809885958946</v>
      </c>
      <c r="BO486">
        <f t="shared" si="473"/>
        <v>0</v>
      </c>
      <c r="BP486">
        <f t="shared" si="474"/>
        <v>0</v>
      </c>
    </row>
    <row r="487" spans="14:68">
      <c r="N487" s="7">
        <v>69</v>
      </c>
      <c r="O487" s="18">
        <f t="shared" si="475"/>
        <v>489778.819368447</v>
      </c>
      <c r="P487" s="86" t="str">
        <f t="shared" si="425"/>
        <v>54,5454545454545</v>
      </c>
      <c r="Q487" s="4" t="str">
        <f t="shared" si="426"/>
        <v>1+6266,64656621531i</v>
      </c>
      <c r="R487" s="4">
        <f t="shared" si="437"/>
        <v>6266.6466460028</v>
      </c>
      <c r="S487" s="4">
        <f t="shared" si="438"/>
        <v>1.57063675181633</v>
      </c>
      <c r="T487" s="4" t="str">
        <f t="shared" si="427"/>
        <v>1+48,2531785598579i</v>
      </c>
      <c r="U487" s="4">
        <f t="shared" si="439"/>
        <v>48.2635394591977</v>
      </c>
      <c r="V487" s="4">
        <f t="shared" si="440"/>
        <v>1.55007526955045</v>
      </c>
      <c r="W487" t="str">
        <f t="shared" si="428"/>
        <v>1-138,481698673062i</v>
      </c>
      <c r="X487" s="4">
        <f t="shared" si="441"/>
        <v>138.485309211399</v>
      </c>
      <c r="Y487" s="4">
        <f t="shared" si="442"/>
        <v>-1.56357528149897</v>
      </c>
      <c r="Z487" t="str">
        <f t="shared" si="429"/>
        <v>-0,95823095430164+9,56183157504473i</v>
      </c>
      <c r="AA487" s="4">
        <f t="shared" si="443"/>
        <v>9.60972578335637</v>
      </c>
      <c r="AB487" s="4">
        <f t="shared" si="444"/>
        <v>1.67067701800937</v>
      </c>
      <c r="AC487" s="67" t="str">
        <f t="shared" si="445"/>
        <v>-6,01513879768224+0,683965893267616i</v>
      </c>
      <c r="AD487" s="68">
        <f t="shared" si="446"/>
        <v>15.6407047259537</v>
      </c>
      <c r="AE487" s="31">
        <f t="shared" si="447"/>
        <v>173.512907203323</v>
      </c>
      <c r="AF487" s="32" t="str">
        <f t="shared" si="448"/>
        <v>432,040091031901</v>
      </c>
      <c r="AG487" s="32" t="str">
        <f t="shared" si="430"/>
        <v>1+5106,15646136062i</v>
      </c>
      <c r="AH487" s="32">
        <f t="shared" si="449"/>
        <v>5106.15655928163</v>
      </c>
      <c r="AI487" s="32">
        <f t="shared" si="450"/>
        <v>1.57060048477658</v>
      </c>
      <c r="AJ487" s="32" t="str">
        <f t="shared" si="431"/>
        <v>1+48,2531785598579i</v>
      </c>
      <c r="AK487" s="32">
        <f t="shared" si="451"/>
        <v>48.2635394591977</v>
      </c>
      <c r="AL487" s="32">
        <f t="shared" si="452"/>
        <v>1.55007526955045</v>
      </c>
      <c r="AM487" s="32" t="str">
        <f t="shared" si="432"/>
        <v>1-14,2454600091296i</v>
      </c>
      <c r="AN487" s="32">
        <f t="shared" si="453"/>
        <v>14.28051577751</v>
      </c>
      <c r="AO487" s="32">
        <f t="shared" si="454"/>
        <v>-1.50071348905979</v>
      </c>
      <c r="AP487" s="30" t="str">
        <f t="shared" si="455"/>
        <v>2,88885447183076-58,245108825236i</v>
      </c>
      <c r="AQ487" s="32">
        <f t="shared" si="456"/>
        <v>35.3158596793991</v>
      </c>
      <c r="AR487" s="31">
        <f t="shared" si="457"/>
        <v>-87.1605573875334</v>
      </c>
      <c r="AS487" t="str">
        <f t="shared" si="433"/>
        <v>-0,000201496259351621</v>
      </c>
      <c r="AT487" t="str">
        <f t="shared" si="434"/>
        <v>0,691485282040821i</v>
      </c>
      <c r="AU487">
        <f t="shared" si="458"/>
        <v>0.691485282040821</v>
      </c>
      <c r="AV487">
        <f t="shared" si="459"/>
        <v>1.5707963267949</v>
      </c>
      <c r="AW487" t="str">
        <f t="shared" si="435"/>
        <v>1+35,4027781308277i</v>
      </c>
      <c r="AX487">
        <f t="shared" si="460"/>
        <v>35.4168985003008</v>
      </c>
      <c r="AY487">
        <f t="shared" si="461"/>
        <v>1.54255746454912</v>
      </c>
      <c r="AZ487" t="str">
        <f t="shared" si="436"/>
        <v>1+1692,55409489297i</v>
      </c>
      <c r="BA487">
        <f t="shared" si="462"/>
        <v>1692.55439030448</v>
      </c>
      <c r="BB487">
        <f t="shared" si="463"/>
        <v>1.57020550379748</v>
      </c>
      <c r="BC487" s="30" t="str">
        <f t="shared" si="464"/>
        <v>-0,000384968469052655+0,0139203496068677i</v>
      </c>
      <c r="BD487" s="32">
        <f t="shared" si="465"/>
        <v>-37.1236769161631</v>
      </c>
      <c r="BE487" s="31">
        <f t="shared" si="466"/>
        <v>91.5841159607427</v>
      </c>
      <c r="BF487" s="30" t="str">
        <f t="shared" si="467"/>
        <v>-0,00720540557937581-0,0839961403003861i</v>
      </c>
      <c r="BG487" s="68">
        <f t="shared" si="468"/>
        <v>-21.4829721902093</v>
      </c>
      <c r="BH487" s="31">
        <f t="shared" si="469"/>
        <v>-94.9029768359345</v>
      </c>
      <c r="BI487" s="30" t="str">
        <f t="shared" si="423"/>
        <v>0,809680159854004+0,0626363945855037i</v>
      </c>
      <c r="BJ487" s="68">
        <f t="shared" si="470"/>
        <v>-1.80781723676392</v>
      </c>
      <c r="BK487" s="31">
        <f t="shared" si="424"/>
        <v>4.4235585732093</v>
      </c>
      <c r="BL487" s="32">
        <f t="shared" si="471"/>
        <v>-21.4829721902093</v>
      </c>
      <c r="BM487" s="31">
        <f t="shared" si="472"/>
        <v>-94.9029768359345</v>
      </c>
      <c r="BO487">
        <f t="shared" si="473"/>
        <v>0</v>
      </c>
      <c r="BP487">
        <f t="shared" si="474"/>
        <v>0</v>
      </c>
    </row>
    <row r="488" spans="14:68">
      <c r="N488" s="7">
        <v>70</v>
      </c>
      <c r="O488" s="18">
        <f t="shared" si="475"/>
        <v>501187.233627273</v>
      </c>
      <c r="P488" s="86" t="str">
        <f t="shared" si="425"/>
        <v>54,5454545454545</v>
      </c>
      <c r="Q488" s="4" t="str">
        <f t="shared" si="426"/>
        <v>1+6412,61551630836i</v>
      </c>
      <c r="R488" s="4">
        <f t="shared" si="437"/>
        <v>6412.61559427966</v>
      </c>
      <c r="S488" s="4">
        <f t="shared" si="438"/>
        <v>1.57064038418624</v>
      </c>
      <c r="T488" s="4" t="str">
        <f t="shared" si="427"/>
        <v>1+49,3771394755745i</v>
      </c>
      <c r="U488" s="4">
        <f t="shared" si="439"/>
        <v>49.387264580966</v>
      </c>
      <c r="V488" s="4">
        <f t="shared" si="440"/>
        <v>1.55054680797144</v>
      </c>
      <c r="W488" t="str">
        <f t="shared" si="428"/>
        <v>1-141,707351811279i</v>
      </c>
      <c r="X488" s="4">
        <f t="shared" si="441"/>
        <v>141.7108801658</v>
      </c>
      <c r="Y488" s="4">
        <f t="shared" si="442"/>
        <v>-1.56373964703726</v>
      </c>
      <c r="Z488" t="str">
        <f t="shared" si="429"/>
        <v>-1,0505195359262+9,7845552441121i</v>
      </c>
      <c r="AA488" s="4">
        <f t="shared" si="443"/>
        <v>9.84078821133979</v>
      </c>
      <c r="AB488" s="4">
        <f t="shared" si="444"/>
        <v>1.67775169296722</v>
      </c>
      <c r="AC488" s="67" t="str">
        <f t="shared" si="445"/>
        <v>-6,00589302569845+0,724139454982955i</v>
      </c>
      <c r="AD488" s="68">
        <f t="shared" si="446"/>
        <v>15.6342328224926</v>
      </c>
      <c r="AE488" s="31">
        <f t="shared" si="447"/>
        <v>173.124949777105</v>
      </c>
      <c r="AF488" s="32" t="str">
        <f t="shared" si="448"/>
        <v>432,040091031901</v>
      </c>
      <c r="AG488" s="32" t="str">
        <f t="shared" si="430"/>
        <v>1+5225,09412439941i</v>
      </c>
      <c r="AH488" s="32">
        <f t="shared" si="449"/>
        <v>5225.09422009147</v>
      </c>
      <c r="AI488" s="32">
        <f t="shared" si="450"/>
        <v>1.57060494268506</v>
      </c>
      <c r="AJ488" s="32" t="str">
        <f t="shared" si="431"/>
        <v>1+49,3771394755745i</v>
      </c>
      <c r="AK488" s="32">
        <f t="shared" si="451"/>
        <v>49.387264580966</v>
      </c>
      <c r="AL488" s="32">
        <f t="shared" si="452"/>
        <v>1.55054680797144</v>
      </c>
      <c r="AM488" s="32" t="str">
        <f t="shared" si="432"/>
        <v>1-14,577279399158i</v>
      </c>
      <c r="AN488" s="32">
        <f t="shared" si="453"/>
        <v>14.6115390935081</v>
      </c>
      <c r="AO488" s="32">
        <f t="shared" si="454"/>
        <v>-1.50230372690921</v>
      </c>
      <c r="AP488" s="30" t="str">
        <f t="shared" si="455"/>
        <v>2,88885373102189-59,5979408993988i</v>
      </c>
      <c r="AQ488" s="32">
        <f t="shared" si="456"/>
        <v>35.5148171926039</v>
      </c>
      <c r="AR488" s="31">
        <f t="shared" si="457"/>
        <v>-87.2249095626676</v>
      </c>
      <c r="AS488" t="str">
        <f t="shared" si="433"/>
        <v>-0,000201496259351621</v>
      </c>
      <c r="AT488" t="str">
        <f t="shared" si="434"/>
        <v>0,707592043377653i</v>
      </c>
      <c r="AU488">
        <f t="shared" si="458"/>
        <v>0.707592043377653</v>
      </c>
      <c r="AV488">
        <f t="shared" si="459"/>
        <v>1.5707963267949</v>
      </c>
      <c r="AW488" t="str">
        <f t="shared" si="435"/>
        <v>1+36,2274147685463i</v>
      </c>
      <c r="AX488">
        <f t="shared" si="460"/>
        <v>36.2412138429756</v>
      </c>
      <c r="AY488">
        <f t="shared" si="461"/>
        <v>1.54319992943168</v>
      </c>
      <c r="AZ488" t="str">
        <f t="shared" si="436"/>
        <v>1+1731,97874436007i</v>
      </c>
      <c r="BA488">
        <f t="shared" si="462"/>
        <v>1731.97903304719</v>
      </c>
      <c r="BB488">
        <f t="shared" si="463"/>
        <v>1.5702189525678</v>
      </c>
      <c r="BC488" s="30" t="str">
        <f t="shared" si="464"/>
        <v>-0,000367655225587929+0,013603961669019i</v>
      </c>
      <c r="BD488" s="32">
        <f t="shared" si="465"/>
        <v>-37.3235211529452</v>
      </c>
      <c r="BE488" s="31">
        <f t="shared" si="466"/>
        <v>91.5480759922659</v>
      </c>
      <c r="BF488" s="30" t="str">
        <f t="shared" si="467"/>
        <v>-0,0076430674333923-0,0819701721645091i</v>
      </c>
      <c r="BG488" s="68">
        <f t="shared" si="468"/>
        <v>-21.6892883304526</v>
      </c>
      <c r="BH488" s="31">
        <f t="shared" si="469"/>
        <v>-95.3269742306297</v>
      </c>
      <c r="BI488" s="30" t="str">
        <f t="shared" si="423"/>
        <v>0,809706001377712+0,0612113498301688i</v>
      </c>
      <c r="BJ488" s="68">
        <f t="shared" si="470"/>
        <v>-1.80870396034129</v>
      </c>
      <c r="BK488" s="31">
        <f t="shared" si="424"/>
        <v>4.32316642959825</v>
      </c>
      <c r="BL488" s="32">
        <f t="shared" si="471"/>
        <v>-21.6892883304526</v>
      </c>
      <c r="BM488" s="31">
        <f t="shared" si="472"/>
        <v>-95.3269742306297</v>
      </c>
      <c r="BO488">
        <f t="shared" si="473"/>
        <v>0</v>
      </c>
      <c r="BP488">
        <f t="shared" si="474"/>
        <v>0</v>
      </c>
    </row>
    <row r="489" spans="14:68">
      <c r="N489" s="7">
        <v>71</v>
      </c>
      <c r="O489" s="18">
        <f t="shared" si="475"/>
        <v>512861.383991365</v>
      </c>
      <c r="P489" s="86" t="str">
        <f t="shared" si="425"/>
        <v>54,5454545454545</v>
      </c>
      <c r="Q489" s="4" t="str">
        <f t="shared" si="426"/>
        <v>1+6561,98452002917i</v>
      </c>
      <c r="R489" s="4">
        <f t="shared" si="437"/>
        <v>6561.98459622563</v>
      </c>
      <c r="S489" s="4">
        <f t="shared" si="438"/>
        <v>1.57064393387333</v>
      </c>
      <c r="T489" s="4" t="str">
        <f t="shared" si="427"/>
        <v>1+50,5272808042247i</v>
      </c>
      <c r="U489" s="4">
        <f t="shared" si="439"/>
        <v>50.5371754797295</v>
      </c>
      <c r="V489" s="4">
        <f t="shared" si="440"/>
        <v>1.55100762157019</v>
      </c>
      <c r="W489" t="str">
        <f t="shared" si="428"/>
        <v>1-145,008140063145i</v>
      </c>
      <c r="X489" s="4">
        <f t="shared" si="441"/>
        <v>145.011588104443</v>
      </c>
      <c r="Y489" s="4">
        <f t="shared" si="442"/>
        <v>-1.56390027152755</v>
      </c>
      <c r="Z489" t="str">
        <f t="shared" si="429"/>
        <v>-1,14715754440439+10,0124668138838i</v>
      </c>
      <c r="AA489" s="4">
        <f t="shared" si="443"/>
        <v>10.0779691471451</v>
      </c>
      <c r="AB489" s="4">
        <f t="shared" si="444"/>
        <v>1.68487182610058</v>
      </c>
      <c r="AC489" s="67" t="str">
        <f t="shared" si="445"/>
        <v>-5,9960106362201+0,764491267541254i</v>
      </c>
      <c r="AD489" s="68">
        <f t="shared" si="446"/>
        <v>15.6272801705073</v>
      </c>
      <c r="AE489" s="31">
        <f t="shared" si="447"/>
        <v>172.733992385874</v>
      </c>
      <c r="AF489" s="32" t="str">
        <f t="shared" si="448"/>
        <v>432,040091031901</v>
      </c>
      <c r="AG489" s="32" t="str">
        <f t="shared" si="430"/>
        <v>1+5346,80220150525i</v>
      </c>
      <c r="AH489" s="32">
        <f t="shared" si="449"/>
        <v>5346.80229501909</v>
      </c>
      <c r="AI489" s="32">
        <f t="shared" si="450"/>
        <v>1.57060929911917</v>
      </c>
      <c r="AJ489" s="32" t="str">
        <f t="shared" si="431"/>
        <v>1+50,5272808042247i</v>
      </c>
      <c r="AK489" s="32">
        <f t="shared" si="451"/>
        <v>50.5371754797295</v>
      </c>
      <c r="AL489" s="32">
        <f t="shared" si="452"/>
        <v>1.55100762157019</v>
      </c>
      <c r="AM489" s="32" t="str">
        <f t="shared" si="432"/>
        <v>1-14,916827855677i</v>
      </c>
      <c r="AN489" s="32">
        <f t="shared" si="453"/>
        <v>14.9503094709073</v>
      </c>
      <c r="AO489" s="32">
        <f t="shared" si="454"/>
        <v>-1.50385810185876</v>
      </c>
      <c r="AP489" s="30" t="str">
        <f t="shared" si="455"/>
        <v>2,88885302355491-60,982372590686i</v>
      </c>
      <c r="AQ489" s="32">
        <f t="shared" si="456"/>
        <v>35.7138214263781</v>
      </c>
      <c r="AR489" s="31">
        <f t="shared" si="457"/>
        <v>-87.2878156179948</v>
      </c>
      <c r="AS489" t="str">
        <f t="shared" si="433"/>
        <v>-0,000201496259351621</v>
      </c>
      <c r="AT489" t="str">
        <f t="shared" si="434"/>
        <v>0,724073979381971i</v>
      </c>
      <c r="AU489">
        <f t="shared" si="458"/>
        <v>0.724073979381971</v>
      </c>
      <c r="AV489">
        <f t="shared" si="459"/>
        <v>1.5707963267949</v>
      </c>
      <c r="AW489" t="str">
        <f t="shared" si="435"/>
        <v>1+37,0712596611017i</v>
      </c>
      <c r="AX489">
        <f t="shared" si="460"/>
        <v>37.0847447457958</v>
      </c>
      <c r="AY489">
        <f t="shared" si="461"/>
        <v>1.54382779204781</v>
      </c>
      <c r="AZ489" t="str">
        <f t="shared" si="436"/>
        <v>1+1772,32171188288i</v>
      </c>
      <c r="BA489">
        <f t="shared" si="462"/>
        <v>1772.32199399868</v>
      </c>
      <c r="BB489">
        <f t="shared" si="463"/>
        <v>1.57023209520693</v>
      </c>
      <c r="BC489" s="30" t="str">
        <f t="shared" si="464"/>
        <v>-0,000351120046548547+0,013294743733112i</v>
      </c>
      <c r="BD489" s="32">
        <f t="shared" si="465"/>
        <v>-37.523372395007</v>
      </c>
      <c r="BE489" s="31">
        <f t="shared" si="466"/>
        <v>91.5128551320019</v>
      </c>
      <c r="BF489" s="30" t="str">
        <f t="shared" si="467"/>
        <v>-0,00805839595446775-0,0799838530390051i</v>
      </c>
      <c r="BG489" s="68">
        <f t="shared" si="468"/>
        <v>-21.8960922244997</v>
      </c>
      <c r="BH489" s="31">
        <f t="shared" si="469"/>
        <v>-95.7531524821245</v>
      </c>
      <c r="BI489" s="30" t="str">
        <f t="shared" si="423"/>
        <v>0,809730681622221+0,0598186941334708i</v>
      </c>
      <c r="BJ489" s="68">
        <f t="shared" si="470"/>
        <v>-1.80955096862892</v>
      </c>
      <c r="BK489" s="31">
        <f t="shared" si="424"/>
        <v>4.22503951400708</v>
      </c>
      <c r="BL489" s="32">
        <f t="shared" si="471"/>
        <v>-21.8960922244997</v>
      </c>
      <c r="BM489" s="31">
        <f t="shared" si="472"/>
        <v>-95.7531524821245</v>
      </c>
      <c r="BO489">
        <f t="shared" si="473"/>
        <v>0</v>
      </c>
      <c r="BP489">
        <f t="shared" si="474"/>
        <v>0</v>
      </c>
    </row>
    <row r="490" spans="14:68">
      <c r="N490" s="7">
        <v>72</v>
      </c>
      <c r="O490" s="18">
        <f t="shared" si="475"/>
        <v>524807.460249773</v>
      </c>
      <c r="P490" s="86" t="str">
        <f t="shared" si="425"/>
        <v>54,5454545454545</v>
      </c>
      <c r="Q490" s="4" t="str">
        <f t="shared" si="426"/>
        <v>1+6714,83277480065i</v>
      </c>
      <c r="R490" s="4">
        <f t="shared" si="437"/>
        <v>6714.83284926267</v>
      </c>
      <c r="S490" s="4">
        <f t="shared" si="438"/>
        <v>1.57064740275968</v>
      </c>
      <c r="T490" s="4" t="str">
        <f t="shared" si="427"/>
        <v>1+51,7042123659651i</v>
      </c>
      <c r="U490" s="4">
        <f t="shared" si="439"/>
        <v>51.7138818537616</v>
      </c>
      <c r="V490" s="4">
        <f t="shared" si="440"/>
        <v>1.55145795389291</v>
      </c>
      <c r="W490" t="str">
        <f t="shared" si="428"/>
        <v>1-148,385813550283i</v>
      </c>
      <c r="X490" s="4">
        <f t="shared" si="441"/>
        <v>148.389183106382</v>
      </c>
      <c r="Y490" s="4">
        <f t="shared" si="442"/>
        <v>-1.56405724010191</v>
      </c>
      <c r="Z490" t="str">
        <f t="shared" si="429"/>
        <v>-1,24834996190872+10,2456871260909i</v>
      </c>
      <c r="AA490" s="4">
        <f t="shared" si="443"/>
        <v>10.321457373508</v>
      </c>
      <c r="AB490" s="4">
        <f t="shared" si="444"/>
        <v>1.69204022138663</v>
      </c>
      <c r="AC490" s="67" t="str">
        <f t="shared" si="445"/>
        <v>-5,98547715025139+0,805026030653801i</v>
      </c>
      <c r="AD490" s="68">
        <f t="shared" si="446"/>
        <v>15.6198343694524</v>
      </c>
      <c r="AE490" s="31">
        <f t="shared" si="447"/>
        <v>172.339883342198</v>
      </c>
      <c r="AF490" s="32" t="str">
        <f t="shared" si="448"/>
        <v>432,040091031901</v>
      </c>
      <c r="AG490" s="32" t="str">
        <f t="shared" si="430"/>
        <v>1+5471,34522391164i</v>
      </c>
      <c r="AH490" s="32">
        <f t="shared" si="449"/>
        <v>5471.34531529684</v>
      </c>
      <c r="AI490" s="32">
        <f t="shared" si="450"/>
        <v>1.57061355638873</v>
      </c>
      <c r="AJ490" s="32" t="str">
        <f t="shared" si="431"/>
        <v>1+51,7042123659651i</v>
      </c>
      <c r="AK490" s="32">
        <f t="shared" si="451"/>
        <v>51.7138818537616</v>
      </c>
      <c r="AL490" s="32">
        <f t="shared" si="452"/>
        <v>1.55145795389291</v>
      </c>
      <c r="AM490" s="32" t="str">
        <f t="shared" si="432"/>
        <v>1-15,2642854117726i</v>
      </c>
      <c r="AN490" s="32">
        <f t="shared" si="453"/>
        <v>15.2970065415445</v>
      </c>
      <c r="AO490" s="32">
        <f t="shared" si="454"/>
        <v>-1.50537740799776</v>
      </c>
      <c r="AP490" s="30" t="str">
        <f t="shared" si="455"/>
        <v>2,88885234792919-62,3991379431057i</v>
      </c>
      <c r="AQ490" s="32">
        <f t="shared" si="456"/>
        <v>35.9128702953892</v>
      </c>
      <c r="AR490" s="31">
        <f t="shared" si="457"/>
        <v>-87.3493072296556</v>
      </c>
      <c r="AS490" t="str">
        <f t="shared" si="433"/>
        <v>-0,000201496259351621</v>
      </c>
      <c r="AT490" t="str">
        <f t="shared" si="434"/>
        <v>0,74093982899441i</v>
      </c>
      <c r="AU490">
        <f t="shared" si="458"/>
        <v>0.74093982899441</v>
      </c>
      <c r="AV490">
        <f t="shared" si="459"/>
        <v>1.5707963267949</v>
      </c>
      <c r="AW490" t="str">
        <f t="shared" si="435"/>
        <v>1+37,9347602262256i</v>
      </c>
      <c r="AX490">
        <f t="shared" si="460"/>
        <v>37.9479384607547</v>
      </c>
      <c r="AY490">
        <f t="shared" si="461"/>
        <v>1.54444138331735</v>
      </c>
      <c r="AZ490" t="str">
        <f t="shared" si="436"/>
        <v>1+1813,60438783678i</v>
      </c>
      <c r="BA490">
        <f t="shared" si="462"/>
        <v>1813.60466353084</v>
      </c>
      <c r="BB490">
        <f t="shared" si="463"/>
        <v>1.57024493868326</v>
      </c>
      <c r="BC490" s="30" t="str">
        <f t="shared" si="464"/>
        <v>-0,000335328015215781+0,0129925347135473i</v>
      </c>
      <c r="BD490" s="32">
        <f t="shared" si="465"/>
        <v>-37.7232303275182</v>
      </c>
      <c r="BE490" s="31">
        <f t="shared" si="466"/>
        <v>91.4784348188989</v>
      </c>
      <c r="BF490" s="30" t="str">
        <f t="shared" si="467"/>
        <v>-0,00845223047566549-0,0780364674328415i</v>
      </c>
      <c r="BG490" s="68">
        <f t="shared" si="468"/>
        <v>-22.1033959580658</v>
      </c>
      <c r="BH490" s="31">
        <f t="shared" si="469"/>
        <v>-96.1816818389036</v>
      </c>
      <c r="BI490" s="30" t="str">
        <f t="shared" si="423"/>
        <v>0,809754252697145+0,05845769349042i</v>
      </c>
      <c r="BJ490" s="68">
        <f t="shared" si="470"/>
        <v>-1.81036003212901</v>
      </c>
      <c r="BK490" s="31">
        <f t="shared" si="424"/>
        <v>4.12912758924332</v>
      </c>
      <c r="BL490" s="32">
        <f t="shared" si="471"/>
        <v>-22.1033959580658</v>
      </c>
      <c r="BM490" s="31">
        <f t="shared" si="472"/>
        <v>-96.1816818389036</v>
      </c>
      <c r="BO490">
        <f t="shared" si="473"/>
        <v>0</v>
      </c>
      <c r="BP490">
        <f t="shared" si="474"/>
        <v>0</v>
      </c>
    </row>
    <row r="491" spans="14:68">
      <c r="N491" s="7">
        <v>73</v>
      </c>
      <c r="O491" s="18">
        <f t="shared" si="475"/>
        <v>537031.796370254</v>
      </c>
      <c r="P491" s="86" t="str">
        <f t="shared" si="425"/>
        <v>54,5454545454545</v>
      </c>
      <c r="Q491" s="4" t="str">
        <f t="shared" si="426"/>
        <v>1+6871,24132279065i</v>
      </c>
      <c r="R491" s="4">
        <f t="shared" si="437"/>
        <v>6871.24139555771</v>
      </c>
      <c r="S491" s="4">
        <f t="shared" si="438"/>
        <v>1.57065079268454</v>
      </c>
      <c r="T491" s="4" t="str">
        <f t="shared" si="427"/>
        <v>1+52,9085581854881i</v>
      </c>
      <c r="U491" s="4">
        <f t="shared" si="439"/>
        <v>52.9180076086315</v>
      </c>
      <c r="V491" s="4">
        <f t="shared" si="440"/>
        <v>1.55189804298072</v>
      </c>
      <c r="W491" t="str">
        <f t="shared" si="428"/>
        <v>1-151,842163159883i</v>
      </c>
      <c r="X491" s="4">
        <f t="shared" si="441"/>
        <v>151.845456017204</v>
      </c>
      <c r="Y491" s="4">
        <f t="shared" si="442"/>
        <v>-1.5642106359562</v>
      </c>
      <c r="Z491" t="str">
        <f t="shared" si="429"/>
        <v>-1,35431143112378+10,48433983723i</v>
      </c>
      <c r="AA491" s="4">
        <f t="shared" si="443"/>
        <v>10.571449345998</v>
      </c>
      <c r="AB491" s="4">
        <f t="shared" si="444"/>
        <v>1.69925965909024</v>
      </c>
      <c r="AC491" s="67" t="str">
        <f t="shared" si="445"/>
        <v>-5,97427733420507+0,845747748090707i</v>
      </c>
      <c r="AD491" s="68">
        <f t="shared" si="446"/>
        <v>15.6118822097043</v>
      </c>
      <c r="AE491" s="31">
        <f t="shared" si="447"/>
        <v>171.942472115231</v>
      </c>
      <c r="AF491" s="32" t="str">
        <f t="shared" si="448"/>
        <v>432,040091031901</v>
      </c>
      <c r="AG491" s="32" t="str">
        <f t="shared" si="430"/>
        <v>1+5598,78922597757i</v>
      </c>
      <c r="AH491" s="32">
        <f t="shared" si="449"/>
        <v>5598.78931528259</v>
      </c>
      <c r="AI491" s="32">
        <f t="shared" si="450"/>
        <v>1.57061771675101</v>
      </c>
      <c r="AJ491" s="32" t="str">
        <f t="shared" si="431"/>
        <v>1+52,9085581854881i</v>
      </c>
      <c r="AK491" s="32">
        <f t="shared" si="451"/>
        <v>52.9180076086315</v>
      </c>
      <c r="AL491" s="32">
        <f t="shared" si="452"/>
        <v>1.55189804298072</v>
      </c>
      <c r="AM491" s="32" t="str">
        <f t="shared" si="432"/>
        <v>1-15,6198362940403i</v>
      </c>
      <c r="AN491" s="32">
        <f t="shared" si="453"/>
        <v>15.6518141393456</v>
      </c>
      <c r="AO491" s="32">
        <f t="shared" si="454"/>
        <v>-1.50686242281062</v>
      </c>
      <c r="AP491" s="30" t="str">
        <f t="shared" si="455"/>
        <v>2,88885170271161-63,8489881444023i</v>
      </c>
      <c r="AQ491" s="32">
        <f t="shared" si="456"/>
        <v>36.1119618066355</v>
      </c>
      <c r="AR491" s="31">
        <f t="shared" si="457"/>
        <v>-87.409415434806</v>
      </c>
      <c r="AS491" t="str">
        <f t="shared" si="433"/>
        <v>-0,000201496259351621</v>
      </c>
      <c r="AT491" t="str">
        <f t="shared" si="434"/>
        <v>0,758198534711681i</v>
      </c>
      <c r="AU491">
        <f t="shared" si="458"/>
        <v>0.758198534711681</v>
      </c>
      <c r="AV491">
        <f t="shared" si="459"/>
        <v>1.5707963267949</v>
      </c>
      <c r="AW491" t="str">
        <f t="shared" si="435"/>
        <v>1+38,8183743033474i</v>
      </c>
      <c r="AX491">
        <f t="shared" si="460"/>
        <v>38.8312526652796</v>
      </c>
      <c r="AY491">
        <f t="shared" si="461"/>
        <v>1.54504102672537</v>
      </c>
      <c r="AZ491" t="str">
        <f t="shared" si="436"/>
        <v>1+1855,84866084301i</v>
      </c>
      <c r="BA491">
        <f t="shared" si="462"/>
        <v>1855.84893026151</v>
      </c>
      <c r="BB491">
        <f t="shared" si="463"/>
        <v>1.57025748980656</v>
      </c>
      <c r="BC491" s="30" t="str">
        <f t="shared" si="464"/>
        <v>-0,000320245777425749+0,012697177050112i</v>
      </c>
      <c r="BD491" s="32">
        <f t="shared" si="465"/>
        <v>-37.9230946497774</v>
      </c>
      <c r="BE491" s="31">
        <f t="shared" si="466"/>
        <v>91.4447969087998</v>
      </c>
      <c r="BF491" s="30" t="str">
        <f t="shared" si="467"/>
        <v>-0,0088253718077917-0,0761273042039663i</v>
      </c>
      <c r="BG491" s="68">
        <f t="shared" si="468"/>
        <v>-22.3112124400731</v>
      </c>
      <c r="BH491" s="31">
        <f t="shared" si="469"/>
        <v>-96.6127309759689</v>
      </c>
      <c r="BI491" s="30" t="str">
        <f t="shared" si="423"/>
        <v>0,809776764380575+0,0571276303869984i</v>
      </c>
      <c r="BJ491" s="68">
        <f t="shared" si="470"/>
        <v>-1.81113284314191</v>
      </c>
      <c r="BK491" s="31">
        <f t="shared" si="424"/>
        <v>4.03538147399391</v>
      </c>
      <c r="BL491" s="32">
        <f t="shared" si="471"/>
        <v>-22.3112124400731</v>
      </c>
      <c r="BM491" s="31">
        <f t="shared" si="472"/>
        <v>-96.6127309759689</v>
      </c>
      <c r="BO491">
        <f t="shared" si="473"/>
        <v>0</v>
      </c>
      <c r="BP491">
        <f t="shared" si="474"/>
        <v>0</v>
      </c>
    </row>
    <row r="492" spans="14:68">
      <c r="N492" s="7">
        <v>74</v>
      </c>
      <c r="O492" s="18">
        <f t="shared" si="475"/>
        <v>549540.873857626</v>
      </c>
      <c r="P492" s="86" t="str">
        <f t="shared" si="425"/>
        <v>54,5454545454545</v>
      </c>
      <c r="Q492" s="4" t="str">
        <f t="shared" si="426"/>
        <v>1+7031,29309388162i</v>
      </c>
      <c r="R492" s="4">
        <f t="shared" si="437"/>
        <v>7031.29316499229</v>
      </c>
      <c r="S492" s="4">
        <f t="shared" si="438"/>
        <v>1.57065410544529</v>
      </c>
      <c r="T492" s="4" t="str">
        <f t="shared" si="427"/>
        <v>1+54,1409568228886i</v>
      </c>
      <c r="U492" s="4">
        <f t="shared" si="439"/>
        <v>54.1501911880086</v>
      </c>
      <c r="V492" s="4">
        <f t="shared" si="440"/>
        <v>1.55232812149239</v>
      </c>
      <c r="W492" t="str">
        <f t="shared" si="428"/>
        <v>1-155,379021494259i</v>
      </c>
      <c r="X492" s="4">
        <f t="shared" si="441"/>
        <v>155.382239398566</v>
      </c>
      <c r="Y492" s="4">
        <f t="shared" si="442"/>
        <v>-1.56436054039403</v>
      </c>
      <c r="Z492" t="str">
        <f t="shared" si="429"/>
        <v>-1,46526671053228+10,7285514841274i</v>
      </c>
      <c r="AA492" s="4">
        <f t="shared" si="443"/>
        <v>10.8281495870978</v>
      </c>
      <c r="AB492" s="4">
        <f t="shared" si="444"/>
        <v>1.70653289344334</v>
      </c>
      <c r="AC492" s="67" t="str">
        <f t="shared" si="445"/>
        <v>-5,96239521395279+0,88665967721635i</v>
      </c>
      <c r="AD492" s="68">
        <f t="shared" si="446"/>
        <v>15.6034096630462</v>
      </c>
      <c r="AE492" s="31">
        <f t="shared" si="447"/>
        <v>171.541609468139</v>
      </c>
      <c r="AF492" s="32" t="str">
        <f t="shared" si="448"/>
        <v>432,040091031901</v>
      </c>
      <c r="AG492" s="32" t="str">
        <f t="shared" si="430"/>
        <v>1+5729,20178019984i</v>
      </c>
      <c r="AH492" s="32">
        <f t="shared" si="449"/>
        <v>5729.20186747203</v>
      </c>
      <c r="AI492" s="32">
        <f t="shared" si="450"/>
        <v>1.57062178241189</v>
      </c>
      <c r="AJ492" s="32" t="str">
        <f t="shared" si="431"/>
        <v>1+54,1409568228886i</v>
      </c>
      <c r="AK492" s="32">
        <f t="shared" si="451"/>
        <v>54.1501911880086</v>
      </c>
      <c r="AL492" s="32">
        <f t="shared" si="452"/>
        <v>1.55232812149239</v>
      </c>
      <c r="AM492" s="32" t="str">
        <f t="shared" si="432"/>
        <v>1-15,983669020264i</v>
      </c>
      <c r="AN492" s="32">
        <f t="shared" si="453"/>
        <v>16.0149203978461</v>
      </c>
      <c r="AO492" s="32">
        <f t="shared" si="454"/>
        <v>-1.50831390745824</v>
      </c>
      <c r="AP492" s="30" t="str">
        <f t="shared" si="455"/>
        <v>2,88885108653364-65,3326919243437i</v>
      </c>
      <c r="AQ492" s="32">
        <f t="shared" si="456"/>
        <v>36.3110940554232</v>
      </c>
      <c r="AR492" s="31">
        <f t="shared" si="457"/>
        <v>-87.4681706407736</v>
      </c>
      <c r="AS492" t="str">
        <f t="shared" si="433"/>
        <v>-0,000201496259351621</v>
      </c>
      <c r="AT492" t="str">
        <f t="shared" si="434"/>
        <v>0,775859247328i</v>
      </c>
      <c r="AU492">
        <f t="shared" si="458"/>
        <v>0.775859247328</v>
      </c>
      <c r="AV492">
        <f t="shared" si="459"/>
        <v>1.5707963267949</v>
      </c>
      <c r="AW492" t="str">
        <f t="shared" si="435"/>
        <v>1+39,7225703963467i</v>
      </c>
      <c r="AX492">
        <f t="shared" si="460"/>
        <v>39.7351557049009</v>
      </c>
      <c r="AY492">
        <f t="shared" si="461"/>
        <v>1.54562703848481</v>
      </c>
      <c r="AZ492" t="str">
        <f t="shared" si="436"/>
        <v>1+1899,07692937428i</v>
      </c>
      <c r="BA492">
        <f t="shared" si="462"/>
        <v>1899.07719266007</v>
      </c>
      <c r="BB492">
        <f t="shared" si="463"/>
        <v>1.57026975523157</v>
      </c>
      <c r="BC492" s="30" t="str">
        <f t="shared" si="464"/>
        <v>-0,000305841472029112+0,0124085166371271i</v>
      </c>
      <c r="BD492" s="32">
        <f t="shared" si="465"/>
        <v>-38.1229650745804</v>
      </c>
      <c r="BE492" s="31">
        <f t="shared" si="466"/>
        <v>91.4119236653258</v>
      </c>
      <c r="BF492" s="30" t="str">
        <f t="shared" si="467"/>
        <v>-0,00917858362715417-0,0742556575103289i</v>
      </c>
      <c r="BG492" s="68">
        <f t="shared" si="468"/>
        <v>-22.5195554115341</v>
      </c>
      <c r="BH492" s="31">
        <f t="shared" si="469"/>
        <v>-97.0464668665347</v>
      </c>
      <c r="BI492" s="30" t="str">
        <f t="shared" si="423"/>
        <v>0,80979826422274+0,0558278034392011i</v>
      </c>
      <c r="BJ492" s="68">
        <f t="shared" si="470"/>
        <v>-1.81187101915719</v>
      </c>
      <c r="BK492" s="31">
        <f t="shared" si="424"/>
        <v>3.94375302455228</v>
      </c>
      <c r="BL492" s="32">
        <f t="shared" si="471"/>
        <v>-22.5195554115341</v>
      </c>
      <c r="BM492" s="31">
        <f t="shared" si="472"/>
        <v>-97.0464668665347</v>
      </c>
      <c r="BO492">
        <f t="shared" si="473"/>
        <v>0</v>
      </c>
      <c r="BP492">
        <f t="shared" si="474"/>
        <v>0</v>
      </c>
    </row>
    <row r="493" spans="14:68">
      <c r="N493" s="7">
        <v>75</v>
      </c>
      <c r="O493" s="18">
        <f t="shared" si="475"/>
        <v>562341.32519035</v>
      </c>
      <c r="P493" s="86" t="str">
        <f t="shared" si="425"/>
        <v>54,5454545454545</v>
      </c>
      <c r="Q493" s="4" t="str">
        <f t="shared" si="426"/>
        <v>1+7195,0729496411i</v>
      </c>
      <c r="R493" s="4">
        <f t="shared" si="437"/>
        <v>7195.0730191331</v>
      </c>
      <c r="S493" s="4">
        <f t="shared" si="438"/>
        <v>1.57065734279841</v>
      </c>
      <c r="T493" s="4" t="str">
        <f t="shared" si="427"/>
        <v>1+55,4020617122365i</v>
      </c>
      <c r="U493" s="4">
        <f t="shared" si="439"/>
        <v>55.4110859121752</v>
      </c>
      <c r="V493" s="4">
        <f t="shared" si="440"/>
        <v>1.55274841682449</v>
      </c>
      <c r="W493" t="str">
        <f t="shared" si="428"/>
        <v>1-158,998263842516i</v>
      </c>
      <c r="X493" s="4">
        <f t="shared" si="441"/>
        <v>159.001408499844</v>
      </c>
      <c r="Y493" s="4">
        <f t="shared" si="442"/>
        <v>-1.56450703286976</v>
      </c>
      <c r="Z493" t="str">
        <f t="shared" si="429"/>
        <v>-1,58145115115788+10,9784515510308i</v>
      </c>
      <c r="AA493" s="4">
        <f t="shared" si="443"/>
        <v>11.0917711030218</v>
      </c>
      <c r="AB493" s="4">
        <f t="shared" si="444"/>
        <v>1.71386265016967</v>
      </c>
      <c r="AC493" s="67" t="str">
        <f t="shared" si="445"/>
        <v>-5,94981409111972+0,927764277181356i</v>
      </c>
      <c r="AD493" s="68">
        <f t="shared" si="446"/>
        <v>15.5944018731072</v>
      </c>
      <c r="AE493" s="31">
        <f t="shared" si="447"/>
        <v>171.137147604282</v>
      </c>
      <c r="AF493" s="32" t="str">
        <f t="shared" si="448"/>
        <v>432,040091031901</v>
      </c>
      <c r="AG493" s="32" t="str">
        <f t="shared" si="430"/>
        <v>1+5862,6520330409i</v>
      </c>
      <c r="AH493" s="32">
        <f t="shared" si="449"/>
        <v>5862.65211832653</v>
      </c>
      <c r="AI493" s="32">
        <f t="shared" si="450"/>
        <v>1.57062575552704</v>
      </c>
      <c r="AJ493" s="32" t="str">
        <f t="shared" si="431"/>
        <v>1+55,4020617122365i</v>
      </c>
      <c r="AK493" s="32">
        <f t="shared" si="451"/>
        <v>55.4110859121752</v>
      </c>
      <c r="AL493" s="32">
        <f t="shared" si="452"/>
        <v>1.55274841682449</v>
      </c>
      <c r="AM493" s="32" t="str">
        <f t="shared" si="432"/>
        <v>1-16,3559764993711i</v>
      </c>
      <c r="AN493" s="32">
        <f t="shared" si="453"/>
        <v>16.3865178499881</v>
      </c>
      <c r="AO493" s="32">
        <f t="shared" si="454"/>
        <v>-1.5097326070592</v>
      </c>
      <c r="AP493" s="30" t="str">
        <f t="shared" si="455"/>
        <v>2,8888504980882-66,8510359623139i</v>
      </c>
      <c r="AQ493" s="32">
        <f t="shared" si="456"/>
        <v>36.5102652215133</v>
      </c>
      <c r="AR493" s="31">
        <f t="shared" si="457"/>
        <v>-87.5256026343566</v>
      </c>
      <c r="AS493" t="str">
        <f t="shared" si="433"/>
        <v>-0,000201496259351621</v>
      </c>
      <c r="AT493" t="str">
        <f t="shared" si="434"/>
        <v>0,793931330786962i</v>
      </c>
      <c r="AU493">
        <f t="shared" si="458"/>
        <v>0.793931330786962</v>
      </c>
      <c r="AV493">
        <f t="shared" si="459"/>
        <v>1.5707963267949</v>
      </c>
      <c r="AW493" t="str">
        <f t="shared" si="435"/>
        <v>1+40,6478279219604i</v>
      </c>
      <c r="AX493">
        <f t="shared" si="460"/>
        <v>40.6601268415791</v>
      </c>
      <c r="AY493">
        <f t="shared" si="461"/>
        <v>1.54619972769602</v>
      </c>
      <c r="AZ493" t="str">
        <f t="shared" si="436"/>
        <v>1+1943,31211363074i</v>
      </c>
      <c r="BA493">
        <f t="shared" si="462"/>
        <v>1943.31237092341</v>
      </c>
      <c r="BB493">
        <f t="shared" si="463"/>
        <v>1.57028174146158</v>
      </c>
      <c r="BC493" s="30" t="str">
        <f t="shared" si="464"/>
        <v>-0,000292084664411653+0,0121264027535856i</v>
      </c>
      <c r="BD493" s="32">
        <f t="shared" si="465"/>
        <v>-38.3228413276158</v>
      </c>
      <c r="BE493" s="31">
        <f t="shared" si="466"/>
        <v>91.3797977509427</v>
      </c>
      <c r="BF493" s="30" t="str">
        <f t="shared" si="467"/>
        <v>-0,00951259383337392-0,0724208276954302i</v>
      </c>
      <c r="BG493" s="68">
        <f t="shared" si="468"/>
        <v>-22.7284394545086</v>
      </c>
      <c r="BH493" s="31">
        <f t="shared" si="469"/>
        <v>-97.4830546447756</v>
      </c>
      <c r="BI493" s="30" t="str">
        <f t="shared" si="423"/>
        <v>0,809818797645184+0,0545575270393377i</v>
      </c>
      <c r="BJ493" s="68">
        <f t="shared" si="470"/>
        <v>-1.81257610610243</v>
      </c>
      <c r="BK493" s="31">
        <f t="shared" si="424"/>
        <v>3.85419511658607</v>
      </c>
      <c r="BL493" s="32">
        <f t="shared" si="471"/>
        <v>-22.7284394545086</v>
      </c>
      <c r="BM493" s="31">
        <f t="shared" si="472"/>
        <v>-97.4830546447756</v>
      </c>
      <c r="BO493">
        <f t="shared" si="473"/>
        <v>0</v>
      </c>
      <c r="BP493">
        <f t="shared" si="474"/>
        <v>0</v>
      </c>
    </row>
    <row r="494" spans="14:68">
      <c r="N494" s="7">
        <v>76</v>
      </c>
      <c r="O494" s="18">
        <f t="shared" si="475"/>
        <v>575439.937337157</v>
      </c>
      <c r="P494" s="86" t="str">
        <f t="shared" si="425"/>
        <v>54,5454545454545</v>
      </c>
      <c r="Q494" s="4" t="str">
        <f t="shared" si="426"/>
        <v>1+7362,66772831656i</v>
      </c>
      <c r="R494" s="4">
        <f t="shared" si="437"/>
        <v>7362.66779622673</v>
      </c>
      <c r="S494" s="4">
        <f t="shared" si="438"/>
        <v>1.57066050646037</v>
      </c>
      <c r="T494" s="4" t="str">
        <f t="shared" si="427"/>
        <v>1+56,6925415080376i</v>
      </c>
      <c r="U494" s="4">
        <f t="shared" si="439"/>
        <v>56.7013603244275</v>
      </c>
      <c r="V494" s="4">
        <f t="shared" si="440"/>
        <v>1.55315915122886</v>
      </c>
      <c r="W494" t="str">
        <f t="shared" si="428"/>
        <v>1-162,701809174853i</v>
      </c>
      <c r="X494" s="4">
        <f t="shared" si="441"/>
        <v>162.704882252409</v>
      </c>
      <c r="Y494" s="4">
        <f t="shared" si="442"/>
        <v>-1.56465019103047</v>
      </c>
      <c r="Z494" t="str">
        <f t="shared" si="429"/>
        <v>-1,70311119577628+11,2341725382636i</v>
      </c>
      <c r="AA494" s="4">
        <f t="shared" si="443"/>
        <v>11.3625358245708</v>
      </c>
      <c r="AB494" s="4">
        <f t="shared" si="444"/>
        <v>1.72125162384715</v>
      </c>
      <c r="AC494" s="67" t="str">
        <f t="shared" si="445"/>
        <v>-5,93651656184801+0,969063155799564i</v>
      </c>
      <c r="AD494" s="68">
        <f t="shared" si="446"/>
        <v>15.5848431458422</v>
      </c>
      <c r="AE494" s="31">
        <f t="shared" si="447"/>
        <v>170.72894032261</v>
      </c>
      <c r="AF494" s="32" t="str">
        <f t="shared" si="448"/>
        <v>432,040091031901</v>
      </c>
      <c r="AG494" s="32" t="str">
        <f t="shared" si="430"/>
        <v>1+5999,21074159127i</v>
      </c>
      <c r="AH494" s="32">
        <f t="shared" si="449"/>
        <v>5999.21082493557</v>
      </c>
      <c r="AI494" s="32">
        <f t="shared" si="450"/>
        <v>1.57062963820304</v>
      </c>
      <c r="AJ494" s="32" t="str">
        <f t="shared" si="431"/>
        <v>1+56,6925415080376i</v>
      </c>
      <c r="AK494" s="32">
        <f t="shared" si="451"/>
        <v>56.7013603244275</v>
      </c>
      <c r="AL494" s="32">
        <f t="shared" si="452"/>
        <v>1.55315915122886</v>
      </c>
      <c r="AM494" s="32" t="str">
        <f t="shared" si="432"/>
        <v>1-16,7369561337152i</v>
      </c>
      <c r="AN494" s="32">
        <f t="shared" si="453"/>
        <v>16.7668035302471</v>
      </c>
      <c r="AO494" s="32">
        <f t="shared" si="454"/>
        <v>-1.51111925097048</v>
      </c>
      <c r="AP494" s="30" t="str">
        <f t="shared" si="455"/>
        <v>2,88884993612719-68,4048253044209i</v>
      </c>
      <c r="AQ494" s="32">
        <f t="shared" si="456"/>
        <v>36.7094735654319</v>
      </c>
      <c r="AR494" s="31">
        <f t="shared" si="457"/>
        <v>-87.581740591238</v>
      </c>
      <c r="AS494" t="str">
        <f t="shared" si="433"/>
        <v>-0,000201496259351621</v>
      </c>
      <c r="AT494" t="str">
        <f t="shared" si="434"/>
        <v>0,81242436714643i</v>
      </c>
      <c r="AU494">
        <f t="shared" si="458"/>
        <v>0.81242436714643</v>
      </c>
      <c r="AV494">
        <f t="shared" si="459"/>
        <v>1.5707963267949</v>
      </c>
      <c r="AW494" t="str">
        <f t="shared" si="435"/>
        <v>1+41,5946374639761i</v>
      </c>
      <c r="AX494">
        <f t="shared" si="460"/>
        <v>41.6066565078186</v>
      </c>
      <c r="AY494">
        <f t="shared" si="461"/>
        <v>1.54675939650291</v>
      </c>
      <c r="AZ494" t="str">
        <f t="shared" si="436"/>
        <v>1+1988,57766769264i</v>
      </c>
      <c r="BA494">
        <f t="shared" si="462"/>
        <v>1988.57791912862</v>
      </c>
      <c r="BB494">
        <f t="shared" si="463"/>
        <v>1.57029345485182</v>
      </c>
      <c r="BC494" s="30" t="str">
        <f t="shared" si="464"/>
        <v>-0,000278946282944022+0,0118506879943i</v>
      </c>
      <c r="BD494" s="32">
        <f t="shared" si="465"/>
        <v>-38.5227231468875</v>
      </c>
      <c r="BE494" s="31">
        <f t="shared" si="466"/>
        <v>91.3484022182073</v>
      </c>
      <c r="BF494" s="30" t="str">
        <f t="shared" si="467"/>
        <v>-0,00982809587758924-0,0706221221127036i</v>
      </c>
      <c r="BG494" s="68">
        <f t="shared" si="468"/>
        <v>-22.9378800010453</v>
      </c>
      <c r="BH494" s="31">
        <f t="shared" si="469"/>
        <v>-97.9226574591831</v>
      </c>
      <c r="BI494" s="30" t="str">
        <f t="shared" si="423"/>
        <v>0,809838408035624+0,0533161310095002i</v>
      </c>
      <c r="BJ494" s="68">
        <f t="shared" si="470"/>
        <v>-1.81324958145557</v>
      </c>
      <c r="BK494" s="31">
        <f t="shared" si="424"/>
        <v>3.76666162696922</v>
      </c>
      <c r="BL494" s="32">
        <f t="shared" si="471"/>
        <v>-22.9378800010453</v>
      </c>
      <c r="BM494" s="31">
        <f t="shared" si="472"/>
        <v>-97.9226574591831</v>
      </c>
      <c r="BO494">
        <f t="shared" si="473"/>
        <v>0</v>
      </c>
      <c r="BP494">
        <f t="shared" si="474"/>
        <v>0</v>
      </c>
    </row>
    <row r="495" spans="14:68">
      <c r="N495" s="7">
        <v>77</v>
      </c>
      <c r="O495" s="18">
        <f t="shared" si="475"/>
        <v>588843.655355589</v>
      </c>
      <c r="P495" s="86" t="str">
        <f t="shared" si="425"/>
        <v>54,5454545454545</v>
      </c>
      <c r="Q495" s="4" t="str">
        <f t="shared" si="426"/>
        <v>1+7534,16629087799i</v>
      </c>
      <c r="R495" s="4">
        <f t="shared" si="437"/>
        <v>7534.16635724233</v>
      </c>
      <c r="S495" s="4">
        <f t="shared" si="438"/>
        <v>1.5706635981086</v>
      </c>
      <c r="T495" s="4" t="str">
        <f t="shared" si="427"/>
        <v>1+58,0130804397606i</v>
      </c>
      <c r="U495" s="4">
        <f t="shared" si="439"/>
        <v>58.0216985455453</v>
      </c>
      <c r="V495" s="4">
        <f t="shared" si="440"/>
        <v>1.55356054192766</v>
      </c>
      <c r="W495" t="str">
        <f t="shared" si="428"/>
        <v>1-166,491621160027i</v>
      </c>
      <c r="X495" s="4">
        <f t="shared" si="441"/>
        <v>166.494624287074</v>
      </c>
      <c r="Y495" s="4">
        <f t="shared" si="442"/>
        <v>-1.56479009075703</v>
      </c>
      <c r="Z495" t="str">
        <f t="shared" si="429"/>
        <v>-1,83050490165334+11,4958500324781i</v>
      </c>
      <c r="AA495" s="4">
        <f t="shared" si="443"/>
        <v>11.6406750733883</v>
      </c>
      <c r="AB495" s="4">
        <f t="shared" si="444"/>
        <v>1.72870247510055</v>
      </c>
      <c r="AC495" s="67" t="str">
        <f t="shared" si="445"/>
        <v>-5,92248453826269+1,01055701515747i</v>
      </c>
      <c r="AD495" s="68">
        <f t="shared" si="446"/>
        <v>15.5747169401516</v>
      </c>
      <c r="AE495" s="31">
        <f t="shared" si="447"/>
        <v>170.316843182705</v>
      </c>
      <c r="AF495" s="32" t="str">
        <f t="shared" si="448"/>
        <v>432,040091031901</v>
      </c>
      <c r="AG495" s="32" t="str">
        <f t="shared" si="430"/>
        <v>1+6138,95031108577i</v>
      </c>
      <c r="AH495" s="32">
        <f t="shared" si="449"/>
        <v>6138.95039253292</v>
      </c>
      <c r="AI495" s="32">
        <f t="shared" si="450"/>
        <v>1.57063343249856</v>
      </c>
      <c r="AJ495" s="32" t="str">
        <f t="shared" si="431"/>
        <v>1+58,0130804397606i</v>
      </c>
      <c r="AK495" s="32">
        <f t="shared" si="451"/>
        <v>58.0216985455453</v>
      </c>
      <c r="AL495" s="32">
        <f t="shared" si="452"/>
        <v>1.55356054192766</v>
      </c>
      <c r="AM495" s="32" t="str">
        <f t="shared" si="432"/>
        <v>1-17,1268099237411i</v>
      </c>
      <c r="AN495" s="32">
        <f t="shared" si="453"/>
        <v>17.155979079142</v>
      </c>
      <c r="AO495" s="32">
        <f t="shared" si="454"/>
        <v>-1.51247455306729</v>
      </c>
      <c r="AP495" s="30" t="str">
        <f t="shared" si="455"/>
        <v>2,8888493994586-69,9948837903402i</v>
      </c>
      <c r="AQ495" s="32">
        <f t="shared" si="456"/>
        <v>36.9087174249354</v>
      </c>
      <c r="AR495" s="31">
        <f t="shared" si="457"/>
        <v>-87.6366130854925</v>
      </c>
      <c r="AS495" t="str">
        <f t="shared" si="433"/>
        <v>-0,000201496259351621</v>
      </c>
      <c r="AT495" t="str">
        <f t="shared" si="434"/>
        <v>0,831348161659069i</v>
      </c>
      <c r="AU495">
        <f t="shared" si="458"/>
        <v>0.831348161659069</v>
      </c>
      <c r="AV495">
        <f t="shared" si="459"/>
        <v>1.5707963267949</v>
      </c>
      <c r="AW495" t="str">
        <f t="shared" si="435"/>
        <v>1+42,5635010333452i</v>
      </c>
      <c r="AX495">
        <f t="shared" si="460"/>
        <v>42.5752465667033</v>
      </c>
      <c r="AY495">
        <f t="shared" si="461"/>
        <v>1.54730634024606</v>
      </c>
      <c r="AZ495" t="str">
        <f t="shared" si="436"/>
        <v>1+2034,89759195589i</v>
      </c>
      <c r="BA495">
        <f t="shared" si="462"/>
        <v>2034.89783766849</v>
      </c>
      <c r="BB495">
        <f t="shared" si="463"/>
        <v>1.57030490161289</v>
      </c>
      <c r="BC495" s="30" t="str">
        <f t="shared" si="464"/>
        <v>-0,000266398558234301+0,0115812282020723i</v>
      </c>
      <c r="BD495" s="32">
        <f t="shared" si="465"/>
        <v>-38.7226102821634</v>
      </c>
      <c r="BE495" s="31">
        <f t="shared" si="466"/>
        <v>91.3177205011915</v>
      </c>
      <c r="BF495" s="30" t="str">
        <f t="shared" si="467"/>
        <v>-0,0101257500615856-0,0688588558927165i</v>
      </c>
      <c r="BG495" s="68">
        <f t="shared" si="468"/>
        <v>-23.1478933420119</v>
      </c>
      <c r="BH495" s="31">
        <f t="shared" si="469"/>
        <v>-98.3654363161032</v>
      </c>
      <c r="BI495" s="30" t="str">
        <f t="shared" si="423"/>
        <v>0,809857136838489+0,0521029602620736i</v>
      </c>
      <c r="BJ495" s="68">
        <f t="shared" si="470"/>
        <v>-1.81389285722798</v>
      </c>
      <c r="BK495" s="31">
        <f t="shared" si="424"/>
        <v>3.68110741569899</v>
      </c>
      <c r="BL495" s="32">
        <f t="shared" si="471"/>
        <v>-23.1478933420119</v>
      </c>
      <c r="BM495" s="31">
        <f t="shared" si="472"/>
        <v>-98.3654363161032</v>
      </c>
      <c r="BO495">
        <f t="shared" si="473"/>
        <v>0</v>
      </c>
      <c r="BP495">
        <f t="shared" si="474"/>
        <v>0</v>
      </c>
    </row>
    <row r="496" spans="14:68">
      <c r="N496" s="7">
        <v>78</v>
      </c>
      <c r="O496" s="18">
        <f t="shared" si="475"/>
        <v>602559.586074359</v>
      </c>
      <c r="P496" s="86" t="str">
        <f t="shared" si="425"/>
        <v>54,5454545454545</v>
      </c>
      <c r="Q496" s="4" t="str">
        <f t="shared" si="426"/>
        <v>1+7709,65956813335i</v>
      </c>
      <c r="R496" s="4">
        <f t="shared" si="437"/>
        <v>7709.65963298706</v>
      </c>
      <c r="S496" s="4">
        <f t="shared" si="438"/>
        <v>1.57066661938232</v>
      </c>
      <c r="T496" s="4" t="str">
        <f t="shared" si="427"/>
        <v>1+59,3643786746269i</v>
      </c>
      <c r="U496" s="4">
        <f t="shared" si="439"/>
        <v>59.3728006365246</v>
      </c>
      <c r="V496" s="4">
        <f t="shared" si="440"/>
        <v>1.5539528012259</v>
      </c>
      <c r="W496" t="str">
        <f t="shared" si="428"/>
        <v>1-170,369709206519i</v>
      </c>
      <c r="X496" s="4">
        <f t="shared" si="441"/>
        <v>170.37264397524</v>
      </c>
      <c r="Y496" s="4">
        <f t="shared" si="442"/>
        <v>-1.56492680620421</v>
      </c>
      <c r="Z496" t="str">
        <f t="shared" si="429"/>
        <v>-1,96390248791923+11,7636227785453i</v>
      </c>
      <c r="AA496" s="4">
        <f t="shared" si="443"/>
        <v>11.9264300550485</v>
      </c>
      <c r="AB496" s="4">
        <f t="shared" si="444"/>
        <v>1.73621782761708</v>
      </c>
      <c r="AC496" s="67" t="str">
        <f t="shared" si="445"/>
        <v>-5,9076992728841+1,05224559602492i</v>
      </c>
      <c r="AD496" s="68">
        <f t="shared" si="446"/>
        <v>15.5640058587416</v>
      </c>
      <c r="AE496" s="31">
        <f t="shared" si="447"/>
        <v>169.900713679868</v>
      </c>
      <c r="AF496" s="32" t="str">
        <f t="shared" si="448"/>
        <v>432,040091031901</v>
      </c>
      <c r="AG496" s="32" t="str">
        <f t="shared" si="430"/>
        <v>1+6281,94483329384i</v>
      </c>
      <c r="AH496" s="32">
        <f t="shared" si="449"/>
        <v>6281.94491288702</v>
      </c>
      <c r="AI496" s="32">
        <f t="shared" si="450"/>
        <v>1.57063714042537</v>
      </c>
      <c r="AJ496" s="32" t="str">
        <f t="shared" si="431"/>
        <v>1+59,3643786746269i</v>
      </c>
      <c r="AK496" s="32">
        <f t="shared" si="451"/>
        <v>59.3728006365246</v>
      </c>
      <c r="AL496" s="32">
        <f t="shared" si="452"/>
        <v>1.5539528012259</v>
      </c>
      <c r="AM496" s="32" t="str">
        <f t="shared" si="432"/>
        <v>1-17,5257445750888i</v>
      </c>
      <c r="AN496" s="32">
        <f t="shared" si="453"/>
        <v>17.554250850186</v>
      </c>
      <c r="AO496" s="32">
        <f t="shared" si="454"/>
        <v>-1.51379921202165</v>
      </c>
      <c r="AP496" s="30" t="str">
        <f t="shared" si="455"/>
        <v>2,88884888694406-71,6220544901297i</v>
      </c>
      <c r="AQ496" s="32">
        <f t="shared" si="456"/>
        <v>37.1079952116279</v>
      </c>
      <c r="AR496" s="31">
        <f t="shared" si="457"/>
        <v>-87.6902480991645</v>
      </c>
      <c r="AS496" t="str">
        <f t="shared" si="433"/>
        <v>-0,000201496259351621</v>
      </c>
      <c r="AT496" t="str">
        <f t="shared" si="434"/>
        <v>0,850712747971214i</v>
      </c>
      <c r="AU496">
        <f t="shared" si="458"/>
        <v>0.850712747971214</v>
      </c>
      <c r="AV496">
        <f t="shared" si="459"/>
        <v>1.5707963267949</v>
      </c>
      <c r="AW496" t="str">
        <f t="shared" si="435"/>
        <v>1+43,5549323343569i</v>
      </c>
      <c r="AX496">
        <f t="shared" si="460"/>
        <v>43.5664105779947</v>
      </c>
      <c r="AY496">
        <f t="shared" si="461"/>
        <v>1.5478408476126</v>
      </c>
      <c r="AZ496" t="str">
        <f t="shared" si="436"/>
        <v>1+2082,29644585744i</v>
      </c>
      <c r="BA496">
        <f t="shared" si="462"/>
        <v>2082.29668597693</v>
      </c>
      <c r="BB496">
        <f t="shared" si="463"/>
        <v>1.57031608781398</v>
      </c>
      <c r="BC496" s="30" t="str">
        <f t="shared" si="464"/>
        <v>-0,000254414965062275+0,0113178824009017i</v>
      </c>
      <c r="BD496" s="32">
        <f t="shared" si="465"/>
        <v>-38.9225024944481</v>
      </c>
      <c r="BE496" s="31">
        <f t="shared" si="466"/>
        <v>91.2877364070817</v>
      </c>
      <c r="BF496" s="30" t="str">
        <f t="shared" si="467"/>
        <v>-0,0104061848085675-0,0671303526569444i</v>
      </c>
      <c r="BG496" s="68">
        <f t="shared" si="468"/>
        <v>-23.3584966357065</v>
      </c>
      <c r="BH496" s="31">
        <f t="shared" si="469"/>
        <v>-98.8115499130503</v>
      </c>
      <c r="BI496" s="30" t="str">
        <f t="shared" si="423"/>
        <v>0,80987502364162+0,0509173744672033i</v>
      </c>
      <c r="BJ496" s="68">
        <f t="shared" si="470"/>
        <v>-1.81450728282027</v>
      </c>
      <c r="BK496" s="31">
        <f t="shared" si="424"/>
        <v>3.59748830791713</v>
      </c>
      <c r="BL496" s="32">
        <f t="shared" si="471"/>
        <v>-23.3584966357065</v>
      </c>
      <c r="BM496" s="31">
        <f t="shared" si="472"/>
        <v>-98.8115499130503</v>
      </c>
      <c r="BO496">
        <f t="shared" si="473"/>
        <v>0</v>
      </c>
      <c r="BP496">
        <f t="shared" si="474"/>
        <v>0</v>
      </c>
    </row>
    <row r="497" spans="14:68">
      <c r="N497" s="7">
        <v>79</v>
      </c>
      <c r="O497" s="18">
        <f t="shared" si="475"/>
        <v>616595.001861483</v>
      </c>
      <c r="P497" s="86" t="str">
        <f t="shared" si="425"/>
        <v>54,5454545454545</v>
      </c>
      <c r="Q497" s="4" t="str">
        <f t="shared" si="426"/>
        <v>1+7889,24060894111i</v>
      </c>
      <c r="R497" s="4">
        <f t="shared" si="437"/>
        <v>7889.24067231856</v>
      </c>
      <c r="S497" s="4">
        <f t="shared" si="438"/>
        <v>1.57066957188347</v>
      </c>
      <c r="T497" s="4" t="str">
        <f t="shared" si="427"/>
        <v>1+60,7471526888466i</v>
      </c>
      <c r="U497" s="4">
        <f t="shared" si="439"/>
        <v>60.7553829697587</v>
      </c>
      <c r="V497" s="4">
        <f t="shared" si="440"/>
        <v>1.55433613662154</v>
      </c>
      <c r="W497" t="str">
        <f t="shared" si="428"/>
        <v>1-174,33812952794i</v>
      </c>
      <c r="X497" s="4">
        <f t="shared" si="441"/>
        <v>174.340997494281</v>
      </c>
      <c r="Y497" s="4">
        <f t="shared" si="442"/>
        <v>-1.5650604098399</v>
      </c>
      <c r="Z497" t="str">
        <f t="shared" si="429"/>
        <v>-2,1035869087393+12,0376327531197i</v>
      </c>
      <c r="AA497" s="4">
        <f t="shared" si="443"/>
        <v>12.2200523804769</v>
      </c>
      <c r="AB497" s="4">
        <f t="shared" si="444"/>
        <v>1.74380026497858</v>
      </c>
      <c r="AC497" s="67" t="str">
        <f t="shared" si="445"/>
        <v>-5,8921413862381+1,09412762115832i</v>
      </c>
      <c r="AD497" s="68">
        <f t="shared" si="446"/>
        <v>15.552691639338</v>
      </c>
      <c r="AE497" s="31">
        <f t="shared" si="447"/>
        <v>169.480411430633</v>
      </c>
      <c r="AF497" s="32" t="str">
        <f t="shared" si="448"/>
        <v>432,040091031901</v>
      </c>
      <c r="AG497" s="32" t="str">
        <f t="shared" si="430"/>
        <v>1+6428,27012580386i</v>
      </c>
      <c r="AH497" s="32">
        <f t="shared" si="449"/>
        <v>6428.27020358528</v>
      </c>
      <c r="AI497" s="32">
        <f t="shared" si="450"/>
        <v>1.57064076394947</v>
      </c>
      <c r="AJ497" s="32" t="str">
        <f t="shared" si="431"/>
        <v>1+60,7471526888466i</v>
      </c>
      <c r="AK497" s="32">
        <f t="shared" si="451"/>
        <v>60.7553829697587</v>
      </c>
      <c r="AL497" s="32">
        <f t="shared" si="452"/>
        <v>1.55433613662154</v>
      </c>
      <c r="AM497" s="32" t="str">
        <f t="shared" si="432"/>
        <v>1-17,9339716081908i</v>
      </c>
      <c r="AN497" s="32">
        <f t="shared" si="453"/>
        <v>17.9618300193325</v>
      </c>
      <c r="AO497" s="32">
        <f t="shared" si="454"/>
        <v>-1.5150939115795</v>
      </c>
      <c r="AP497" s="30" t="str">
        <f t="shared" si="455"/>
        <v>2,88884839749649-73,2872001512321i</v>
      </c>
      <c r="AQ497" s="32">
        <f t="shared" si="456"/>
        <v>37.307305407721</v>
      </c>
      <c r="AR497" s="31">
        <f t="shared" si="457"/>
        <v>-87.7426730318966</v>
      </c>
      <c r="AS497" t="str">
        <f t="shared" si="433"/>
        <v>-0,000201496259351621</v>
      </c>
      <c r="AT497" t="str">
        <f t="shared" si="434"/>
        <v>0,870528393442846i</v>
      </c>
      <c r="AU497">
        <f t="shared" si="458"/>
        <v>0.870528393442846</v>
      </c>
      <c r="AV497">
        <f t="shared" si="459"/>
        <v>1.5707963267949</v>
      </c>
      <c r="AW497" t="str">
        <f t="shared" si="435"/>
        <v>1+44,5694570370098i</v>
      </c>
      <c r="AX497">
        <f t="shared" si="460"/>
        <v>44.5806740704295</v>
      </c>
      <c r="AY497">
        <f t="shared" si="461"/>
        <v>1.54836320078305</v>
      </c>
      <c r="AZ497" t="str">
        <f t="shared" si="436"/>
        <v>1+2130,79936089704i</v>
      </c>
      <c r="BA497">
        <f t="shared" si="462"/>
        <v>2130.79959555075</v>
      </c>
      <c r="BB497">
        <f t="shared" si="463"/>
        <v>1.57032701938617</v>
      </c>
      <c r="BC497" s="30" t="str">
        <f t="shared" si="464"/>
        <v>-0,000242970166879328+0,0110605127302385i</v>
      </c>
      <c r="BD497" s="32">
        <f t="shared" si="465"/>
        <v>-39.1223995554796</v>
      </c>
      <c r="BE497" s="31">
        <f t="shared" si="466"/>
        <v>91.2584341079497</v>
      </c>
      <c r="BF497" s="30" t="str">
        <f t="shared" si="467"/>
        <v>-0,0106699979064363-0,0654359451815517i</v>
      </c>
      <c r="BG497" s="68">
        <f t="shared" si="468"/>
        <v>-23.5697079161416</v>
      </c>
      <c r="BH497" s="31">
        <f t="shared" si="469"/>
        <v>-99.2611544614172</v>
      </c>
      <c r="BI497" s="30" t="str">
        <f t="shared" si="423"/>
        <v>0,809892106259011+0,0497587477271026i</v>
      </c>
      <c r="BJ497" s="68">
        <f t="shared" si="470"/>
        <v>-1.81509414775863</v>
      </c>
      <c r="BK497" s="31">
        <f t="shared" si="424"/>
        <v>3.51576107605313</v>
      </c>
      <c r="BL497" s="32">
        <f t="shared" si="471"/>
        <v>-23.5697079161416</v>
      </c>
      <c r="BM497" s="31">
        <f t="shared" si="472"/>
        <v>-99.2611544614172</v>
      </c>
      <c r="BO497">
        <f t="shared" si="473"/>
        <v>0</v>
      </c>
      <c r="BP497">
        <f t="shared" si="474"/>
        <v>0</v>
      </c>
    </row>
    <row r="498" spans="14:68">
      <c r="N498" s="7">
        <v>80</v>
      </c>
      <c r="O498" s="18">
        <f t="shared" si="475"/>
        <v>630957.344480194</v>
      </c>
      <c r="P498" s="86" t="str">
        <f t="shared" si="425"/>
        <v>54,5454545454545</v>
      </c>
      <c r="Q498" s="4" t="str">
        <f t="shared" si="426"/>
        <v>1+8073,00462954617i</v>
      </c>
      <c r="R498" s="4">
        <f t="shared" si="437"/>
        <v>8073.00469148098</v>
      </c>
      <c r="S498" s="4">
        <f t="shared" si="438"/>
        <v>1.57067245717748</v>
      </c>
      <c r="T498" s="4" t="str">
        <f t="shared" si="427"/>
        <v>1+62,1621356475056i</v>
      </c>
      <c r="U498" s="4">
        <f t="shared" si="439"/>
        <v>62.1701786088707</v>
      </c>
      <c r="V498" s="4">
        <f t="shared" si="440"/>
        <v>1.55471075091317</v>
      </c>
      <c r="W498" t="str">
        <f t="shared" si="428"/>
        <v>1-178,398986233275i</v>
      </c>
      <c r="X498" s="4">
        <f t="shared" si="441"/>
        <v>178.401788917769</v>
      </c>
      <c r="Y498" s="4">
        <f t="shared" si="442"/>
        <v>-1.56519097248342</v>
      </c>
      <c r="Z498" t="str">
        <f t="shared" si="429"/>
        <v>-2,24985445349795+12,3180252399166i</v>
      </c>
      <c r="AA498" s="4">
        <f t="shared" si="443"/>
        <v>12.5218046172725</v>
      </c>
      <c r="AB498" s="4">
        <f t="shared" si="444"/>
        <v>1.75145232730398</v>
      </c>
      <c r="AC498" s="67" t="str">
        <f t="shared" si="445"/>
        <v>-5,87579089792618+1,13620073761416i</v>
      </c>
      <c r="AD498" s="68">
        <f t="shared" si="446"/>
        <v>15.5407551463736</v>
      </c>
      <c r="AE498" s="31">
        <f t="shared" si="447"/>
        <v>169.055798369067</v>
      </c>
      <c r="AF498" s="32" t="str">
        <f t="shared" si="448"/>
        <v>432,040091031901</v>
      </c>
      <c r="AG498" s="32" t="str">
        <f t="shared" si="430"/>
        <v>1+6578,00377222281i</v>
      </c>
      <c r="AH498" s="32">
        <f t="shared" si="449"/>
        <v>6578.00384823371</v>
      </c>
      <c r="AI498" s="32">
        <f t="shared" si="450"/>
        <v>1.57064430499209</v>
      </c>
      <c r="AJ498" s="32" t="str">
        <f t="shared" si="431"/>
        <v>1+62,1621356475056i</v>
      </c>
      <c r="AK498" s="32">
        <f t="shared" si="451"/>
        <v>62.1701786088707</v>
      </c>
      <c r="AL498" s="32">
        <f t="shared" si="452"/>
        <v>1.55471075091317</v>
      </c>
      <c r="AM498" s="32" t="str">
        <f t="shared" si="432"/>
        <v>1-18,3517074704236i</v>
      </c>
      <c r="AN498" s="32">
        <f t="shared" si="453"/>
        <v>18.3789326969768</v>
      </c>
      <c r="AO498" s="32">
        <f t="shared" si="454"/>
        <v>-1.51635932083596</v>
      </c>
      <c r="AP498" s="30" t="str">
        <f t="shared" si="455"/>
        <v>2,88884793007768-74,9912036559184i</v>
      </c>
      <c r="AQ498" s="32">
        <f t="shared" si="456"/>
        <v>37.5066465629338</v>
      </c>
      <c r="AR498" s="31">
        <f t="shared" si="457"/>
        <v>-87.7939147105902</v>
      </c>
      <c r="AS498" t="str">
        <f t="shared" si="433"/>
        <v>-0,000201496259351621</v>
      </c>
      <c r="AT498" t="str">
        <f t="shared" si="434"/>
        <v>0,890805604591487i</v>
      </c>
      <c r="AU498">
        <f t="shared" si="458"/>
        <v>0.890805604591487</v>
      </c>
      <c r="AV498">
        <f t="shared" si="459"/>
        <v>1.5707963267949</v>
      </c>
      <c r="AW498" t="str">
        <f t="shared" si="435"/>
        <v>1+45,6076130557302i</v>
      </c>
      <c r="AX498">
        <f t="shared" si="460"/>
        <v>45.6185748203647</v>
      </c>
      <c r="AY498">
        <f t="shared" si="461"/>
        <v>1.5488736755751</v>
      </c>
      <c r="AZ498" t="str">
        <f t="shared" si="436"/>
        <v>1+2180,43205396225i</v>
      </c>
      <c r="BA498">
        <f t="shared" si="462"/>
        <v>2180.43228327459</v>
      </c>
      <c r="BB498">
        <f t="shared" si="463"/>
        <v>1.5703377021255</v>
      </c>
      <c r="BC498" s="30" t="str">
        <f t="shared" si="464"/>
        <v>-0,000232039962762622+0,0108089843802919i</v>
      </c>
      <c r="BD498" s="32">
        <f t="shared" si="465"/>
        <v>-39.3223012472481</v>
      </c>
      <c r="BE498" s="31">
        <f t="shared" si="466"/>
        <v>91.2297981326945</v>
      </c>
      <c r="BF498" s="30" t="str">
        <f t="shared" si="467"/>
        <v>-0,0109177577245918-0,0637749760143922i</v>
      </c>
      <c r="BG498" s="68">
        <f t="shared" si="468"/>
        <v>-23.7815461008745</v>
      </c>
      <c r="BH498" s="31">
        <f t="shared" si="469"/>
        <v>-99.7144034982387</v>
      </c>
      <c r="BI498" s="30" t="str">
        <f t="shared" ref="BI498:BI560" si="476">IMPRODUCT(AP498,BC498)</f>
        <v>0,809908420809989+0,0486264682570917i</v>
      </c>
      <c r="BJ498" s="68">
        <f t="shared" si="470"/>
        <v>-1.81565468431428</v>
      </c>
      <c r="BK498" s="31">
        <f t="shared" ref="BK498:BK560" si="477">(180/PI())*IMARGUMENT(BI498)</f>
        <v>3.4358834221043</v>
      </c>
      <c r="BL498" s="32">
        <f t="shared" si="471"/>
        <v>-23.7815461008745</v>
      </c>
      <c r="BM498" s="31">
        <f t="shared" si="472"/>
        <v>-99.7144034982387</v>
      </c>
      <c r="BO498">
        <f t="shared" si="473"/>
        <v>0</v>
      </c>
      <c r="BP498">
        <f t="shared" si="474"/>
        <v>0</v>
      </c>
    </row>
    <row r="499" spans="14:68">
      <c r="N499" s="7">
        <v>81</v>
      </c>
      <c r="O499" s="18">
        <f t="shared" si="475"/>
        <v>645654.229034657</v>
      </c>
      <c r="P499" s="86" t="str">
        <f t="shared" si="425"/>
        <v>54,5454545454545</v>
      </c>
      <c r="Q499" s="4" t="str">
        <f t="shared" si="426"/>
        <v>1+8261,0490640647i</v>
      </c>
      <c r="R499" s="4">
        <f t="shared" si="437"/>
        <v>8261.0491245897</v>
      </c>
      <c r="S499" s="4">
        <f t="shared" si="438"/>
        <v>1.57067527679418</v>
      </c>
      <c r="T499" s="4" t="str">
        <f t="shared" si="427"/>
        <v>1+63,6100777932983i</v>
      </c>
      <c r="U499" s="4">
        <f t="shared" si="439"/>
        <v>63.6179376973937</v>
      </c>
      <c r="V499" s="4">
        <f t="shared" si="440"/>
        <v>1.55507684230543</v>
      </c>
      <c r="W499" t="str">
        <f t="shared" si="428"/>
        <v>1-182,554432442502i</v>
      </c>
      <c r="X499" s="4">
        <f t="shared" si="441"/>
        <v>182.557171331076</v>
      </c>
      <c r="Y499" s="4">
        <f t="shared" si="442"/>
        <v>-1.565318563343</v>
      </c>
      <c r="Z499" t="str">
        <f t="shared" si="429"/>
        <v>-2,40301537526808+12,6049489067441i</v>
      </c>
      <c r="AA499" s="4">
        <f t="shared" si="443"/>
        <v>12.8319608725792</v>
      </c>
      <c r="AB499" s="4">
        <f t="shared" si="444"/>
        <v>1.75917650769681</v>
      </c>
      <c r="AC499" s="67" t="str">
        <f t="shared" si="445"/>
        <v>-5,85862726141794+1,17846145821578i</v>
      </c>
      <c r="AD499" s="68">
        <f t="shared" si="446"/>
        <v>15.5281763632746</v>
      </c>
      <c r="AE499" s="31">
        <f t="shared" si="447"/>
        <v>168.626738954158</v>
      </c>
      <c r="AF499" s="32" t="str">
        <f t="shared" si="448"/>
        <v>432,040091031901</v>
      </c>
      <c r="AG499" s="32" t="str">
        <f t="shared" si="430"/>
        <v>1+6731,22516331198i</v>
      </c>
      <c r="AH499" s="32">
        <f t="shared" si="449"/>
        <v>6731.22523759266</v>
      </c>
      <c r="AI499" s="32">
        <f t="shared" si="450"/>
        <v>1.57064776543075</v>
      </c>
      <c r="AJ499" s="32" t="str">
        <f t="shared" si="431"/>
        <v>1+63,6100777932983i</v>
      </c>
      <c r="AK499" s="32">
        <f t="shared" si="451"/>
        <v>63.6179376973937</v>
      </c>
      <c r="AL499" s="32">
        <f t="shared" si="452"/>
        <v>1.55507684230543</v>
      </c>
      <c r="AM499" s="32" t="str">
        <f t="shared" si="432"/>
        <v>1-18,7791736508709i</v>
      </c>
      <c r="AN499" s="32">
        <f t="shared" si="453"/>
        <v>18.8057800425711</v>
      </c>
      <c r="AO499" s="32">
        <f t="shared" si="454"/>
        <v>-1.51759609450858</v>
      </c>
      <c r="AP499" s="30" t="str">
        <f t="shared" si="455"/>
        <v>2,88884748369618-76,7349684894031i</v>
      </c>
      <c r="AQ499" s="32">
        <f t="shared" si="456"/>
        <v>37.7060172915244</v>
      </c>
      <c r="AR499" s="31">
        <f t="shared" si="457"/>
        <v>-87.843999399082</v>
      </c>
      <c r="AS499" t="str">
        <f t="shared" si="433"/>
        <v>-0,000201496259351621</v>
      </c>
      <c r="AT499" t="str">
        <f t="shared" si="434"/>
        <v>0,91155513266289i</v>
      </c>
      <c r="AU499">
        <f t="shared" si="458"/>
        <v>0.91155513266289</v>
      </c>
      <c r="AV499">
        <f t="shared" si="459"/>
        <v>1.5707963267949</v>
      </c>
      <c r="AW499" t="str">
        <f t="shared" si="435"/>
        <v>1+46,6699508345811i</v>
      </c>
      <c r="AX499">
        <f t="shared" si="460"/>
        <v>46.6806631369159</v>
      </c>
      <c r="AY499">
        <f t="shared" si="461"/>
        <v>1.54937254158448</v>
      </c>
      <c r="AZ499" t="str">
        <f t="shared" si="436"/>
        <v>1+2231,2208409639i</v>
      </c>
      <c r="BA499">
        <f t="shared" si="462"/>
        <v>2231.22106505645</v>
      </c>
      <c r="BB499">
        <f t="shared" si="463"/>
        <v>1.5703481416961</v>
      </c>
      <c r="BC499" s="30" t="str">
        <f t="shared" si="464"/>
        <v>-0,000221601236716979+0,010563165528397i</v>
      </c>
      <c r="BD499" s="32">
        <f t="shared" si="465"/>
        <v>-39.5222073615367</v>
      </c>
      <c r="BE499" s="31">
        <f t="shared" si="466"/>
        <v>91.2018133591501</v>
      </c>
      <c r="BF499" s="30" t="str">
        <f t="shared" si="467"/>
        <v>-0,0111500044053754-0,0621467980481008i</v>
      </c>
      <c r="BG499" s="68">
        <f t="shared" si="468"/>
        <v>-23.9940309982621</v>
      </c>
      <c r="BH499" s="31">
        <f t="shared" si="469"/>
        <v>-100.171447686692</v>
      </c>
      <c r="BI499" s="30" t="str">
        <f t="shared" si="476"/>
        <v>0,809924001794819+0,047519938073266i</v>
      </c>
      <c r="BJ499" s="68">
        <f t="shared" si="470"/>
        <v>-1.81619007001226</v>
      </c>
      <c r="BK499" s="31">
        <f t="shared" si="477"/>
        <v>3.35781396006808</v>
      </c>
      <c r="BL499" s="32">
        <f t="shared" si="471"/>
        <v>-23.9940309982621</v>
      </c>
      <c r="BM499" s="31">
        <f t="shared" si="472"/>
        <v>-100.171447686692</v>
      </c>
      <c r="BO499">
        <f t="shared" si="473"/>
        <v>0</v>
      </c>
      <c r="BP499">
        <f t="shared" si="474"/>
        <v>0</v>
      </c>
    </row>
    <row r="500" spans="14:68">
      <c r="N500" s="7">
        <v>82</v>
      </c>
      <c r="O500" s="18">
        <f t="shared" si="475"/>
        <v>660693.448007597</v>
      </c>
      <c r="P500" s="86" t="str">
        <f t="shared" si="425"/>
        <v>54,5454545454545</v>
      </c>
      <c r="Q500" s="4" t="str">
        <f t="shared" si="426"/>
        <v>1+8453,47361614488i</v>
      </c>
      <c r="R500" s="4">
        <f t="shared" si="437"/>
        <v>8453.47367529216</v>
      </c>
      <c r="S500" s="4">
        <f t="shared" si="438"/>
        <v>1.57067803222857</v>
      </c>
      <c r="T500" s="4" t="str">
        <f t="shared" si="427"/>
        <v>1+65,0917468443157i</v>
      </c>
      <c r="U500" s="4">
        <f t="shared" si="439"/>
        <v>65.0994278565064</v>
      </c>
      <c r="V500" s="4">
        <f t="shared" si="440"/>
        <v>1.55543460451209</v>
      </c>
      <c r="W500" t="str">
        <f t="shared" si="428"/>
        <v>1-186,806671428202i</v>
      </c>
      <c r="X500" s="4">
        <f t="shared" si="441"/>
        <v>186.809347972965</v>
      </c>
      <c r="Y500" s="4">
        <f t="shared" si="442"/>
        <v>-1.56544325005237</v>
      </c>
      <c r="Z500" t="str">
        <f t="shared" si="429"/>
        <v>-2,56339454889933+12,8985558843282i</v>
      </c>
      <c r="AA500" s="4">
        <f t="shared" si="443"/>
        <v>13.1508074092226</v>
      </c>
      <c r="AB500" s="4">
        <f t="shared" si="444"/>
        <v>1.7669752484928</v>
      </c>
      <c r="AC500" s="67" t="str">
        <f t="shared" si="445"/>
        <v>-5,84062940283791+1,22090510234709i</v>
      </c>
      <c r="AD500" s="68">
        <f t="shared" si="446"/>
        <v>15.5149343854846</v>
      </c>
      <c r="AE500" s="31">
        <f t="shared" si="447"/>
        <v>168.193100388572</v>
      </c>
      <c r="AF500" s="32" t="str">
        <f t="shared" si="448"/>
        <v>432,040091031901</v>
      </c>
      <c r="AG500" s="32" t="str">
        <f t="shared" si="430"/>
        <v>1+6888,01553908101i</v>
      </c>
      <c r="AH500" s="32">
        <f t="shared" si="449"/>
        <v>6888.01561167086</v>
      </c>
      <c r="AI500" s="32">
        <f t="shared" si="450"/>
        <v>1.57065114710021</v>
      </c>
      <c r="AJ500" s="32" t="str">
        <f t="shared" si="431"/>
        <v>1+65,0917468443157i</v>
      </c>
      <c r="AK500" s="32">
        <f t="shared" si="451"/>
        <v>65.0994278565064</v>
      </c>
      <c r="AL500" s="32">
        <f t="shared" si="452"/>
        <v>1.55543460451209</v>
      </c>
      <c r="AM500" s="32" t="str">
        <f t="shared" si="432"/>
        <v>1-19,2165967977595i</v>
      </c>
      <c r="AN500" s="32">
        <f t="shared" si="453"/>
        <v>19.2425983819146</v>
      </c>
      <c r="AO500" s="32">
        <f t="shared" si="454"/>
        <v>-1.51880487320832</v>
      </c>
      <c r="AP500" s="30" t="str">
        <f t="shared" si="455"/>
        <v>2,88884705740516-78,5194192188819i</v>
      </c>
      <c r="AQ500" s="32">
        <f t="shared" si="456"/>
        <v>37.9054162694495</v>
      </c>
      <c r="AR500" s="31">
        <f t="shared" si="457"/>
        <v>-87.8929528078194</v>
      </c>
      <c r="AS500" t="str">
        <f t="shared" si="433"/>
        <v>-0,000201496259351621</v>
      </c>
      <c r="AT500" t="str">
        <f t="shared" si="434"/>
        <v>0,932787979331488i</v>
      </c>
      <c r="AU500">
        <f t="shared" si="458"/>
        <v>0.932787979331488</v>
      </c>
      <c r="AV500">
        <f t="shared" si="459"/>
        <v>1.5707963267949</v>
      </c>
      <c r="AW500" t="str">
        <f t="shared" si="435"/>
        <v>1+47,757033639114i</v>
      </c>
      <c r="AX500">
        <f t="shared" si="460"/>
        <v>47.7675021537391</v>
      </c>
      <c r="AY500">
        <f t="shared" si="461"/>
        <v>1.54986006232275</v>
      </c>
      <c r="AZ500" t="str">
        <f t="shared" si="436"/>
        <v>1+2283,19265078913i</v>
      </c>
      <c r="BA500">
        <f t="shared" si="462"/>
        <v>2283.19286978071</v>
      </c>
      <c r="BB500">
        <f t="shared" si="463"/>
        <v>1.57035834363316</v>
      </c>
      <c r="BC500" s="30" t="str">
        <f t="shared" si="464"/>
        <v>-0,000211631909222265+0,0103229272764453i</v>
      </c>
      <c r="BD500" s="32">
        <f t="shared" si="465"/>
        <v>-39.722117699482</v>
      </c>
      <c r="BE500" s="31">
        <f t="shared" si="466"/>
        <v>91.174465006358</v>
      </c>
      <c r="BF500" s="30" t="str">
        <f t="shared" si="467"/>
        <v>-0,0113672510313877-0,0605507750519528i</v>
      </c>
      <c r="BG500" s="68">
        <f t="shared" si="468"/>
        <v>-24.2071833139974</v>
      </c>
      <c r="BH500" s="31">
        <f t="shared" si="469"/>
        <v>-100.63243460507</v>
      </c>
      <c r="BI500" s="30" t="str">
        <f t="shared" si="476"/>
        <v>0,809938882167029+0,0464385726866818i</v>
      </c>
      <c r="BJ500" s="68">
        <f t="shared" si="470"/>
        <v>-1.81670143003251</v>
      </c>
      <c r="BK500" s="31">
        <f t="shared" si="477"/>
        <v>3.28151219853854</v>
      </c>
      <c r="BL500" s="32">
        <f t="shared" si="471"/>
        <v>-24.2071833139974</v>
      </c>
      <c r="BM500" s="31">
        <f t="shared" si="472"/>
        <v>-100.63243460507</v>
      </c>
      <c r="BO500">
        <f t="shared" si="473"/>
        <v>0</v>
      </c>
      <c r="BP500">
        <f t="shared" si="474"/>
        <v>0</v>
      </c>
    </row>
    <row r="501" spans="14:68">
      <c r="N501" s="7">
        <v>83</v>
      </c>
      <c r="O501" s="18">
        <f t="shared" si="475"/>
        <v>676082.975391983</v>
      </c>
      <c r="P501" s="86" t="str">
        <f t="shared" si="425"/>
        <v>54,5454545454545</v>
      </c>
      <c r="Q501" s="4" t="str">
        <f t="shared" si="426"/>
        <v>1+8650,38031183132i</v>
      </c>
      <c r="R501" s="4">
        <f t="shared" si="437"/>
        <v>8650.38036963225</v>
      </c>
      <c r="S501" s="4">
        <f t="shared" si="438"/>
        <v>1.57068072494163</v>
      </c>
      <c r="T501" s="4" t="str">
        <f t="shared" si="427"/>
        <v>1+66,6079284011013i</v>
      </c>
      <c r="U501" s="4">
        <f t="shared" si="439"/>
        <v>66.6154345920391</v>
      </c>
      <c r="V501" s="4">
        <f t="shared" si="440"/>
        <v>1.55578422685686</v>
      </c>
      <c r="W501" t="str">
        <f t="shared" si="428"/>
        <v>1-191,157957783773i</v>
      </c>
      <c r="X501" s="4">
        <f t="shared" si="441"/>
        <v>191.160573403782</v>
      </c>
      <c r="Y501" s="4">
        <f t="shared" si="442"/>
        <v>-1.56556509870656</v>
      </c>
      <c r="Z501" t="str">
        <f t="shared" si="429"/>
        <v>-2,73133216012148+13,1990018469748i</v>
      </c>
      <c r="AA501" s="4">
        <f t="shared" si="443"/>
        <v>13.4786432969108</v>
      </c>
      <c r="AB501" s="4">
        <f t="shared" si="444"/>
        <v>1.77485093730386</v>
      </c>
      <c r="AC501" s="67" t="str">
        <f t="shared" si="445"/>
        <v>-5,82177576401721+1,26352573627758i</v>
      </c>
      <c r="AD501" s="68">
        <f t="shared" si="446"/>
        <v>15.5010074143685</v>
      </c>
      <c r="AE501" s="31">
        <f t="shared" si="447"/>
        <v>167.754752849001</v>
      </c>
      <c r="AF501" s="32" t="str">
        <f t="shared" si="448"/>
        <v>432,040091031901</v>
      </c>
      <c r="AG501" s="32" t="str">
        <f t="shared" si="430"/>
        <v>1+7048,45803186256i</v>
      </c>
      <c r="AH501" s="32">
        <f t="shared" si="449"/>
        <v>7048.45810280006</v>
      </c>
      <c r="AI501" s="32">
        <f t="shared" si="450"/>
        <v>1.57065445179348</v>
      </c>
      <c r="AJ501" s="32" t="str">
        <f t="shared" si="431"/>
        <v>1+66,6079284011013i</v>
      </c>
      <c r="AK501" s="32">
        <f t="shared" si="451"/>
        <v>66.6154345920391</v>
      </c>
      <c r="AL501" s="32">
        <f t="shared" si="452"/>
        <v>1.55578422685686</v>
      </c>
      <c r="AM501" s="32" t="str">
        <f t="shared" si="432"/>
        <v>1-19,6642088386321i</v>
      </c>
      <c r="AN501" s="32">
        <f t="shared" si="453"/>
        <v>19.6896193271819</v>
      </c>
      <c r="AO501" s="32">
        <f t="shared" si="454"/>
        <v>-1.51998628370802</v>
      </c>
      <c r="AP501" s="30" t="str">
        <f t="shared" si="455"/>
        <v>2,88884665030038-80,3455019837525i</v>
      </c>
      <c r="AQ501" s="32">
        <f t="shared" si="456"/>
        <v>38.1048422316458</v>
      </c>
      <c r="AR501" s="31">
        <f t="shared" si="457"/>
        <v>-87.9408001035224</v>
      </c>
      <c r="AS501" t="str">
        <f t="shared" si="433"/>
        <v>-0,000201496259351621</v>
      </c>
      <c r="AT501" t="str">
        <f t="shared" si="434"/>
        <v>0,954515402533637i</v>
      </c>
      <c r="AU501">
        <f t="shared" si="458"/>
        <v>0.954515402533637</v>
      </c>
      <c r="AV501">
        <f t="shared" si="459"/>
        <v>1.5707963267949</v>
      </c>
      <c r="AW501" t="str">
        <f t="shared" si="435"/>
        <v>1+48,8694378550218i</v>
      </c>
      <c r="AX501">
        <f t="shared" si="460"/>
        <v>48.8796681276156</v>
      </c>
      <c r="AY501">
        <f t="shared" si="461"/>
        <v>1.55033649535237</v>
      </c>
      <c r="AZ501" t="str">
        <f t="shared" si="436"/>
        <v>1+2336,37503957944i</v>
      </c>
      <c r="BA501">
        <f t="shared" si="462"/>
        <v>2336.37525358617</v>
      </c>
      <c r="BB501">
        <f t="shared" si="463"/>
        <v>1.57036831334586</v>
      </c>
      <c r="BC501" s="30" t="str">
        <f t="shared" si="464"/>
        <v>-0,000202110890928364+0,0100881435893774i</v>
      </c>
      <c r="BD501" s="32">
        <f t="shared" si="465"/>
        <v>-39.922032071155</v>
      </c>
      <c r="BE501" s="31">
        <f t="shared" si="466"/>
        <v>91.1477386270014</v>
      </c>
      <c r="BF501" s="30" t="str">
        <f t="shared" si="467"/>
        <v>-0,0115699847699914-0,0589862821648329i</v>
      </c>
      <c r="BG501" s="68">
        <f t="shared" si="468"/>
        <v>-24.4210246567865</v>
      </c>
      <c r="BH501" s="31">
        <f t="shared" si="469"/>
        <v>-101.097508523998</v>
      </c>
      <c r="BI501" s="30" t="str">
        <f t="shared" si="476"/>
        <v>0,809953093402454+0,045381800803945i</v>
      </c>
      <c r="BJ501" s="68">
        <f t="shared" si="470"/>
        <v>-1.81718983950923</v>
      </c>
      <c r="BK501" s="31">
        <f t="shared" si="477"/>
        <v>3.20693852347897</v>
      </c>
      <c r="BL501" s="32">
        <f t="shared" si="471"/>
        <v>-24.4210246567865</v>
      </c>
      <c r="BM501" s="31">
        <f t="shared" si="472"/>
        <v>-101.097508523998</v>
      </c>
      <c r="BO501">
        <f t="shared" si="473"/>
        <v>0</v>
      </c>
      <c r="BP501">
        <f t="shared" si="474"/>
        <v>0</v>
      </c>
    </row>
    <row r="502" spans="14:68">
      <c r="N502" s="7">
        <v>84</v>
      </c>
      <c r="O502" s="18">
        <f t="shared" si="475"/>
        <v>691830.970918937</v>
      </c>
      <c r="P502" s="86" t="str">
        <f t="shared" si="425"/>
        <v>54,5454545454545</v>
      </c>
      <c r="Q502" s="4" t="str">
        <f t="shared" si="426"/>
        <v>1+8851,87355366037i</v>
      </c>
      <c r="R502" s="4">
        <f t="shared" si="437"/>
        <v>8851.87361014559</v>
      </c>
      <c r="S502" s="4">
        <f t="shared" si="438"/>
        <v>1.57068335636105</v>
      </c>
      <c r="T502" s="4" t="str">
        <f t="shared" si="427"/>
        <v>1+68,159426363185i</v>
      </c>
      <c r="U502" s="4">
        <f t="shared" si="439"/>
        <v>68.1667617109573</v>
      </c>
      <c r="V502" s="4">
        <f t="shared" si="440"/>
        <v>1.55612589437204</v>
      </c>
      <c r="W502" t="str">
        <f t="shared" si="428"/>
        <v>1-195,610598618834i</v>
      </c>
      <c r="X502" s="4">
        <f t="shared" si="441"/>
        <v>195.61315470085</v>
      </c>
      <c r="Y502" s="4">
        <f t="shared" si="442"/>
        <v>-1.56568417389686</v>
      </c>
      <c r="Z502" t="str">
        <f t="shared" si="429"/>
        <v>-2,90718442712361+13,50644609511i</v>
      </c>
      <c r="AA502" s="4">
        <f t="shared" si="443"/>
        <v>13.8157811003729</v>
      </c>
      <c r="AB502" s="4">
        <f t="shared" si="444"/>
        <v>1.7828059028553</v>
      </c>
      <c r="AC502" s="67" t="str">
        <f t="shared" si="445"/>
        <v>-5,80204435008013+1,30631611325554i</v>
      </c>
      <c r="AD502" s="68">
        <f t="shared" si="446"/>
        <v>15.4863727521497</v>
      </c>
      <c r="AE502" s="31">
        <f t="shared" si="447"/>
        <v>167.311569728272</v>
      </c>
      <c r="AF502" s="32" t="str">
        <f t="shared" si="448"/>
        <v>432,040091031901</v>
      </c>
      <c r="AG502" s="32" t="str">
        <f t="shared" si="430"/>
        <v>1+7212,63771038993i</v>
      </c>
      <c r="AH502" s="32">
        <f t="shared" si="449"/>
        <v>7212.6377797127</v>
      </c>
      <c r="AI502" s="32">
        <f t="shared" si="450"/>
        <v>1.57065768126274</v>
      </c>
      <c r="AJ502" s="32" t="str">
        <f t="shared" si="431"/>
        <v>1+68,159426363185i</v>
      </c>
      <c r="AK502" s="32">
        <f t="shared" si="451"/>
        <v>68.1667617109573</v>
      </c>
      <c r="AL502" s="32">
        <f t="shared" si="452"/>
        <v>1.55612589437204</v>
      </c>
      <c r="AM502" s="32" t="str">
        <f t="shared" si="432"/>
        <v>1-20,1222471033175i</v>
      </c>
      <c r="AN502" s="32">
        <f t="shared" si="453"/>
        <v>20.1470798997515</v>
      </c>
      <c r="AO502" s="32">
        <f t="shared" si="454"/>
        <v>-1.52114093920822</v>
      </c>
      <c r="AP502" s="30" t="str">
        <f t="shared" si="455"/>
        <v>2,88884626151834-82,2141849972682i</v>
      </c>
      <c r="AQ502" s="32">
        <f t="shared" si="456"/>
        <v>38.3042939694296</v>
      </c>
      <c r="AR502" s="31">
        <f t="shared" si="457"/>
        <v>-87.9875659188174</v>
      </c>
      <c r="AS502" t="str">
        <f t="shared" si="433"/>
        <v>-0,000201496259351621</v>
      </c>
      <c r="AT502" t="str">
        <f t="shared" si="434"/>
        <v>0,976748922436713i</v>
      </c>
      <c r="AU502">
        <f t="shared" si="458"/>
        <v>0.976748922436713</v>
      </c>
      <c r="AV502">
        <f t="shared" si="459"/>
        <v>1.5707963267949</v>
      </c>
      <c r="AW502" t="str">
        <f t="shared" si="435"/>
        <v>1+50,0077532937434i</v>
      </c>
      <c r="AX502">
        <f t="shared" si="460"/>
        <v>50.0177507439899</v>
      </c>
      <c r="AY502">
        <f t="shared" si="461"/>
        <v>1.55080209241876</v>
      </c>
      <c r="AZ502" t="str">
        <f t="shared" si="436"/>
        <v>1+2390,79620534131i</v>
      </c>
      <c r="BA502">
        <f t="shared" si="462"/>
        <v>2390.79641447665</v>
      </c>
      <c r="BB502">
        <f t="shared" si="463"/>
        <v>1.57037805612028</v>
      </c>
      <c r="BC502" s="30" t="str">
        <f t="shared" si="464"/>
        <v>-0,000193018038404057+0,00985869123474148i</v>
      </c>
      <c r="BD502" s="32">
        <f t="shared" si="465"/>
        <v>-40.12195029516</v>
      </c>
      <c r="BE502" s="31">
        <f t="shared" si="466"/>
        <v>91.1216200999981</v>
      </c>
      <c r="BF502" s="30" t="str">
        <f t="shared" si="467"/>
        <v>-0,0117586679963681-0,0574527063514325i</v>
      </c>
      <c r="BG502" s="68">
        <f t="shared" si="468"/>
        <v>-24.6355775430103</v>
      </c>
      <c r="BH502" s="31">
        <f t="shared" si="469"/>
        <v>-101.566810171729</v>
      </c>
      <c r="BI502" s="30" t="str">
        <f t="shared" si="476"/>
        <v>0,809966665565333+0,0443490640341075i</v>
      </c>
      <c r="BJ502" s="68">
        <f t="shared" si="470"/>
        <v>-1.81765632573046</v>
      </c>
      <c r="BK502" s="31">
        <f t="shared" si="477"/>
        <v>3.13405418118073</v>
      </c>
      <c r="BL502" s="32">
        <f t="shared" si="471"/>
        <v>-24.6355775430103</v>
      </c>
      <c r="BM502" s="31">
        <f t="shared" si="472"/>
        <v>-101.566810171729</v>
      </c>
      <c r="BO502">
        <f t="shared" si="473"/>
        <v>0</v>
      </c>
      <c r="BP502">
        <f t="shared" si="474"/>
        <v>0</v>
      </c>
    </row>
    <row r="503" spans="14:68">
      <c r="N503" s="7">
        <v>85</v>
      </c>
      <c r="O503" s="18">
        <f t="shared" si="475"/>
        <v>707945.784384139</v>
      </c>
      <c r="P503" s="86" t="str">
        <f t="shared" si="425"/>
        <v>54,5454545454545</v>
      </c>
      <c r="Q503" s="4" t="str">
        <f t="shared" si="426"/>
        <v>1+9058,06017601601i</v>
      </c>
      <c r="R503" s="4">
        <f t="shared" si="437"/>
        <v>9058.06023121547</v>
      </c>
      <c r="S503" s="4">
        <f t="shared" si="438"/>
        <v>1.57068592788205</v>
      </c>
      <c r="T503" s="4" t="str">
        <f t="shared" si="427"/>
        <v>1+69,7470633553233i</v>
      </c>
      <c r="U503" s="4">
        <f t="shared" si="439"/>
        <v>69.7542317475541</v>
      </c>
      <c r="V503" s="4">
        <f t="shared" si="440"/>
        <v>1.55645978789503</v>
      </c>
      <c r="W503" t="str">
        <f t="shared" si="428"/>
        <v>1-200,166954782497i</v>
      </c>
      <c r="X503" s="4">
        <f t="shared" si="441"/>
        <v>200.169452681717</v>
      </c>
      <c r="Y503" s="4">
        <f t="shared" si="442"/>
        <v>-1.565800538745</v>
      </c>
      <c r="Z503" t="str">
        <f t="shared" si="429"/>
        <v>-3,09132435614104+13,8210516397438i</v>
      </c>
      <c r="AA503" s="4">
        <f t="shared" si="443"/>
        <v>14.1625476063926</v>
      </c>
      <c r="AB503" s="4">
        <f t="shared" si="444"/>
        <v>1.79084241061452</v>
      </c>
      <c r="AC503" s="67" t="str">
        <f t="shared" si="445"/>
        <v>-5,78141278183453+1,34926761364294i</v>
      </c>
      <c r="AD503" s="68">
        <f t="shared" si="446"/>
        <v>15.4710067980413</v>
      </c>
      <c r="AE503" s="31">
        <f t="shared" si="447"/>
        <v>166.863427889336</v>
      </c>
      <c r="AF503" s="32" t="str">
        <f t="shared" si="448"/>
        <v>432,040091031901</v>
      </c>
      <c r="AG503" s="32" t="str">
        <f t="shared" si="430"/>
        <v>1+7380,64162490193i</v>
      </c>
      <c r="AH503" s="32">
        <f t="shared" si="449"/>
        <v>7380.64169264672</v>
      </c>
      <c r="AI503" s="32">
        <f t="shared" si="450"/>
        <v>1.57066083722032</v>
      </c>
      <c r="AJ503" s="32" t="str">
        <f t="shared" si="431"/>
        <v>1+69,7470633553233i</v>
      </c>
      <c r="AK503" s="32">
        <f t="shared" si="451"/>
        <v>69.7542317475541</v>
      </c>
      <c r="AL503" s="32">
        <f t="shared" si="452"/>
        <v>1.55645978789503</v>
      </c>
      <c r="AM503" s="32" t="str">
        <f t="shared" si="432"/>
        <v>1-20,5909544497665i</v>
      </c>
      <c r="AN503" s="32">
        <f t="shared" si="453"/>
        <v>20.6152226559006</v>
      </c>
      <c r="AO503" s="32">
        <f t="shared" si="454"/>
        <v>-1.52226943960019</v>
      </c>
      <c r="AP503" s="30" t="str">
        <f t="shared" si="455"/>
        <v>2,88884589023437-84,1264590598978i</v>
      </c>
      <c r="AQ503" s="32">
        <f t="shared" si="456"/>
        <v>38.5037703280074</v>
      </c>
      <c r="AR503" s="31">
        <f t="shared" si="457"/>
        <v>-88.0332743618321</v>
      </c>
      <c r="AS503" t="str">
        <f t="shared" si="433"/>
        <v>-0,000201496259351621</v>
      </c>
      <c r="AT503" t="str">
        <f t="shared" si="434"/>
        <v>0,999500327547267i</v>
      </c>
      <c r="AU503">
        <f t="shared" si="458"/>
        <v>0.999500327547267</v>
      </c>
      <c r="AV503">
        <f t="shared" si="459"/>
        <v>1.5707963267949</v>
      </c>
      <c r="AW503" t="str">
        <f t="shared" si="435"/>
        <v>1+51,1725835051925i</v>
      </c>
      <c r="AX503">
        <f t="shared" si="460"/>
        <v>51.1823534296333</v>
      </c>
      <c r="AY503">
        <f t="shared" si="461"/>
        <v>1.55125709957975</v>
      </c>
      <c r="AZ503" t="str">
        <f t="shared" si="436"/>
        <v>1+2446,48500289718i</v>
      </c>
      <c r="BA503">
        <f t="shared" si="462"/>
        <v>2446.48520727202</v>
      </c>
      <c r="BB503">
        <f t="shared" si="463"/>
        <v>1.57038757712215</v>
      </c>
      <c r="BC503" s="30" t="str">
        <f t="shared" si="464"/>
        <v>-0,000184334111849924+0,00963444972331069i</v>
      </c>
      <c r="BD503" s="32">
        <f t="shared" si="465"/>
        <v>-40.3218721982525</v>
      </c>
      <c r="BE503" s="31">
        <f t="shared" si="466"/>
        <v>91.0960956232496</v>
      </c>
      <c r="BF503" s="30" t="str">
        <f t="shared" si="467"/>
        <v>-0,011933739396557-0,0559494468234993i</v>
      </c>
      <c r="BG503" s="68">
        <f t="shared" si="468"/>
        <v>-24.8508654002112</v>
      </c>
      <c r="BH503" s="31">
        <f t="shared" si="469"/>
        <v>-102.040476487415</v>
      </c>
      <c r="BI503" s="30" t="str">
        <f t="shared" si="476"/>
        <v>0,809979627371293+0,043339816601741i</v>
      </c>
      <c r="BJ503" s="68">
        <f t="shared" si="470"/>
        <v>-1.81810187024515</v>
      </c>
      <c r="BK503" s="31">
        <f t="shared" si="477"/>
        <v>3.06282126141752</v>
      </c>
      <c r="BL503" s="32">
        <f t="shared" si="471"/>
        <v>-24.8508654002112</v>
      </c>
      <c r="BM503" s="31">
        <f t="shared" si="472"/>
        <v>-102.040476487415</v>
      </c>
      <c r="BO503">
        <f t="shared" si="473"/>
        <v>0</v>
      </c>
      <c r="BP503">
        <f t="shared" si="474"/>
        <v>0</v>
      </c>
    </row>
    <row r="504" spans="14:68">
      <c r="N504" s="7">
        <v>86</v>
      </c>
      <c r="O504" s="18">
        <f t="shared" si="475"/>
        <v>724435.960074992</v>
      </c>
      <c r="P504" s="86" t="str">
        <f t="shared" si="425"/>
        <v>54,5454545454545</v>
      </c>
      <c r="Q504" s="4" t="str">
        <f t="shared" si="426"/>
        <v>1+9269,04950177457i</v>
      </c>
      <c r="R504" s="4">
        <f t="shared" si="437"/>
        <v>9269.04955571753</v>
      </c>
      <c r="S504" s="4">
        <f t="shared" si="438"/>
        <v>1.57068844086809</v>
      </c>
      <c r="T504" s="4" t="str">
        <f t="shared" si="427"/>
        <v>1+71,3716811636643i</v>
      </c>
      <c r="U504" s="4">
        <f t="shared" si="439"/>
        <v>71.3786863995672</v>
      </c>
      <c r="V504" s="4">
        <f t="shared" si="440"/>
        <v>1.5567860841626</v>
      </c>
      <c r="W504" t="str">
        <f t="shared" si="428"/>
        <v>1-204,829442115108i</v>
      </c>
      <c r="X504" s="4">
        <f t="shared" si="441"/>
        <v>204.831883155886</v>
      </c>
      <c r="Y504" s="4">
        <f t="shared" si="442"/>
        <v>-1.56591425493654</v>
      </c>
      <c r="Z504" t="str">
        <f t="shared" si="429"/>
        <v>-3,28414253265126+14,1429852889003i</v>
      </c>
      <c r="AA504" s="4">
        <f t="shared" si="443"/>
        <v>14.5192845917703</v>
      </c>
      <c r="AB504" s="4">
        <f t="shared" si="444"/>
        <v>1.79896265821026</v>
      </c>
      <c r="AC504" s="67" t="str">
        <f t="shared" si="445"/>
        <v>-5,7598583532252+1,3923701854005i</v>
      </c>
      <c r="AD504" s="68">
        <f t="shared" si="446"/>
        <v>15.4548850457398</v>
      </c>
      <c r="AE504" s="31">
        <f t="shared" si="447"/>
        <v>166.41020793117</v>
      </c>
      <c r="AF504" s="32" t="str">
        <f t="shared" si="448"/>
        <v>432,040091031901</v>
      </c>
      <c r="AG504" s="32" t="str">
        <f t="shared" si="430"/>
        <v>1+7552,5588532978i</v>
      </c>
      <c r="AH504" s="32">
        <f t="shared" si="449"/>
        <v>7552.55891950053</v>
      </c>
      <c r="AI504" s="32">
        <f t="shared" si="450"/>
        <v>1.57066392133953</v>
      </c>
      <c r="AJ504" s="32" t="str">
        <f t="shared" si="431"/>
        <v>1+71,3716811636643i</v>
      </c>
      <c r="AK504" s="32">
        <f t="shared" si="451"/>
        <v>71.3786863995672</v>
      </c>
      <c r="AL504" s="32">
        <f t="shared" si="452"/>
        <v>1.5567860841626</v>
      </c>
      <c r="AM504" s="32" t="str">
        <f t="shared" si="432"/>
        <v>1-21,0705793928183i</v>
      </c>
      <c r="AN504" s="32">
        <f t="shared" si="453"/>
        <v>21.0942958154345</v>
      </c>
      <c r="AO504" s="32">
        <f t="shared" si="454"/>
        <v>-1.52337237172597</v>
      </c>
      <c r="AP504" s="30" t="str">
        <f t="shared" si="455"/>
        <v>2,88884553566094-86,0833380846621i</v>
      </c>
      <c r="AQ504" s="32">
        <f t="shared" si="456"/>
        <v>38.7032702040955</v>
      </c>
      <c r="AR504" s="31">
        <f t="shared" si="457"/>
        <v>-88.07794902574</v>
      </c>
      <c r="AS504" t="str">
        <f t="shared" si="433"/>
        <v>-0,000201496259351621</v>
      </c>
      <c r="AT504" t="str">
        <f t="shared" si="434"/>
        <v>1,02278168096144i</v>
      </c>
      <c r="AU504">
        <f t="shared" si="458"/>
        <v>1.02278168096144</v>
      </c>
      <c r="AV504">
        <f t="shared" si="459"/>
        <v>1.5707963267949</v>
      </c>
      <c r="AW504" t="str">
        <f t="shared" si="435"/>
        <v>1+52,3645460977653i</v>
      </c>
      <c r="AX504">
        <f t="shared" si="460"/>
        <v>52.3740936725877</v>
      </c>
      <c r="AY504">
        <f t="shared" si="461"/>
        <v>1.5517017573321</v>
      </c>
      <c r="AZ504" t="str">
        <f t="shared" si="436"/>
        <v>1+2503,47095918465i</v>
      </c>
      <c r="BA504">
        <f t="shared" si="462"/>
        <v>2503.47115890735</v>
      </c>
      <c r="BB504">
        <f t="shared" si="463"/>
        <v>1.57039688139964</v>
      </c>
      <c r="BC504" s="30" t="str">
        <f t="shared" si="464"/>
        <v>-0,000176040734689396+0,00941530125076166i</v>
      </c>
      <c r="BD504" s="32">
        <f t="shared" si="465"/>
        <v>-40.5217976149726</v>
      </c>
      <c r="BE504" s="31">
        <f t="shared" si="466"/>
        <v>91.0711517065431</v>
      </c>
      <c r="BF504" s="30" t="str">
        <f t="shared" si="467"/>
        <v>-0,012095615051916-0,0544759154277287i</v>
      </c>
      <c r="BG504" s="68">
        <f t="shared" si="468"/>
        <v>-25.0669125692328</v>
      </c>
      <c r="BH504" s="31">
        <f t="shared" si="469"/>
        <v>-102.518640362287</v>
      </c>
      <c r="BI504" s="30" t="str">
        <f t="shared" si="476"/>
        <v>0,809992006247756+0,0423535250661053i</v>
      </c>
      <c r="BJ504" s="68">
        <f t="shared" si="470"/>
        <v>-1.81852741087715</v>
      </c>
      <c r="BK504" s="31">
        <f t="shared" si="477"/>
        <v>2.99320268080311</v>
      </c>
      <c r="BL504" s="32">
        <f t="shared" si="471"/>
        <v>-25.0669125692328</v>
      </c>
      <c r="BM504" s="31">
        <f t="shared" si="472"/>
        <v>-102.518640362287</v>
      </c>
      <c r="BO504">
        <f t="shared" si="473"/>
        <v>0</v>
      </c>
      <c r="BP504">
        <f t="shared" si="474"/>
        <v>0</v>
      </c>
    </row>
    <row r="505" spans="14:68">
      <c r="N505" s="7">
        <v>87</v>
      </c>
      <c r="O505" s="18">
        <f t="shared" si="475"/>
        <v>741310.241300918</v>
      </c>
      <c r="P505" s="86" t="str">
        <f t="shared" si="425"/>
        <v>54,5454545454545</v>
      </c>
      <c r="Q505" s="4" t="str">
        <f t="shared" si="426"/>
        <v>1+9484,9534002693i</v>
      </c>
      <c r="R505" s="4">
        <f t="shared" si="437"/>
        <v>9484.95345298437</v>
      </c>
      <c r="S505" s="4">
        <f t="shared" si="438"/>
        <v>1.57069089665158</v>
      </c>
      <c r="T505" s="4" t="str">
        <f t="shared" si="427"/>
        <v>1+73,0341411820737i</v>
      </c>
      <c r="U505" s="4">
        <f t="shared" si="439"/>
        <v>73.0409869744589</v>
      </c>
      <c r="V505" s="4">
        <f t="shared" si="440"/>
        <v>1.55710495590329</v>
      </c>
      <c r="W505" t="str">
        <f t="shared" si="428"/>
        <v>1-209,600532729166i</v>
      </c>
      <c r="X505" s="4">
        <f t="shared" si="441"/>
        <v>209.602918205711</v>
      </c>
      <c r="Y505" s="4">
        <f t="shared" si="442"/>
        <v>-1.56602538275356</v>
      </c>
      <c r="Z505" t="str">
        <f t="shared" si="429"/>
        <v>-3,48604794985818+14,4724177360614i</v>
      </c>
      <c r="AA505" s="4">
        <f t="shared" si="443"/>
        <v>14.8863496343387</v>
      </c>
      <c r="AB505" s="4">
        <f t="shared" si="444"/>
        <v>1.80716877064303</v>
      </c>
      <c r="AC505" s="67" t="str">
        <f t="shared" si="445"/>
        <v>-5,73735809410256+1,43561228527201i</v>
      </c>
      <c r="AD505" s="68">
        <f t="shared" si="446"/>
        <v>15.4379820824592</v>
      </c>
      <c r="AE505" s="31">
        <f t="shared" si="447"/>
        <v>165.951794466579</v>
      </c>
      <c r="AF505" s="32" t="str">
        <f t="shared" si="448"/>
        <v>432,040091031901</v>
      </c>
      <c r="AG505" s="32" t="str">
        <f t="shared" si="430"/>
        <v>1+7728,48054836758i</v>
      </c>
      <c r="AH505" s="32">
        <f t="shared" si="449"/>
        <v>7728.48061306335</v>
      </c>
      <c r="AI505" s="32">
        <f t="shared" si="450"/>
        <v>1.57066693525562</v>
      </c>
      <c r="AJ505" s="32" t="str">
        <f t="shared" si="431"/>
        <v>1+73,0341411820737i</v>
      </c>
      <c r="AK505" s="32">
        <f t="shared" si="451"/>
        <v>73.0409869744589</v>
      </c>
      <c r="AL505" s="32">
        <f t="shared" si="452"/>
        <v>1.55710495590329</v>
      </c>
      <c r="AM505" s="32" t="str">
        <f t="shared" si="432"/>
        <v>1-21,5613762359662i</v>
      </c>
      <c r="AN505" s="32">
        <f t="shared" si="453"/>
        <v>21.5845533933155</v>
      </c>
      <c r="AO505" s="32">
        <f t="shared" si="454"/>
        <v>-1.52445030963529</v>
      </c>
      <c r="AP505" s="30" t="str">
        <f t="shared" si="455"/>
        <v>2,88884519704594-88,085859634722i</v>
      </c>
      <c r="AQ505" s="32">
        <f t="shared" si="456"/>
        <v>38.9027925436421</v>
      </c>
      <c r="AR505" s="31">
        <f t="shared" si="457"/>
        <v>-88.1216129982457</v>
      </c>
      <c r="AS505" t="str">
        <f t="shared" si="433"/>
        <v>-0,000201496259351621</v>
      </c>
      <c r="AT505" t="str">
        <f t="shared" si="434"/>
        <v>1,04660532676097i</v>
      </c>
      <c r="AU505">
        <f t="shared" si="458"/>
        <v>1.04660532676097</v>
      </c>
      <c r="AV505">
        <f t="shared" si="459"/>
        <v>1.5707963267949</v>
      </c>
      <c r="AW505" t="str">
        <f t="shared" si="435"/>
        <v>1+53,5842730658056i</v>
      </c>
      <c r="AX505">
        <f t="shared" si="460"/>
        <v>53.5936033495679</v>
      </c>
      <c r="AY505">
        <f t="shared" si="461"/>
        <v>1.5521363007355</v>
      </c>
      <c r="AZ505" t="str">
        <f t="shared" si="436"/>
        <v>1+2561,78428891202i</v>
      </c>
      <c r="BA505">
        <f t="shared" si="462"/>
        <v>2561.78448408848</v>
      </c>
      <c r="BB505">
        <f t="shared" si="463"/>
        <v>1.57040597388597</v>
      </c>
      <c r="BC505" s="30" t="str">
        <f t="shared" si="464"/>
        <v>-0,000168120354955525+0,00920113064040456i</v>
      </c>
      <c r="BD505" s="32">
        <f t="shared" si="465"/>
        <v>-40.7217263872966</v>
      </c>
      <c r="BE505" s="31">
        <f t="shared" si="466"/>
        <v>91.0467751646054</v>
      </c>
      <c r="BF505" s="30" t="str">
        <f t="shared" si="467"/>
        <v>-0,01224468950647-0,0530315370015986i</v>
      </c>
      <c r="BG505" s="68">
        <f t="shared" si="468"/>
        <v>-25.2837443048374</v>
      </c>
      <c r="BH505" s="31">
        <f t="shared" si="469"/>
        <v>-103.001430368816</v>
      </c>
      <c r="BI505" s="30" t="str">
        <f t="shared" si="476"/>
        <v>0,810003828391477+0,041389668046277i</v>
      </c>
      <c r="BJ505" s="68">
        <f t="shared" si="470"/>
        <v>-1.81893384365443</v>
      </c>
      <c r="BK505" s="31">
        <f t="shared" si="477"/>
        <v>2.92516216635964</v>
      </c>
      <c r="BL505" s="32">
        <f t="shared" si="471"/>
        <v>-25.2837443048374</v>
      </c>
      <c r="BM505" s="31">
        <f t="shared" si="472"/>
        <v>-103.001430368816</v>
      </c>
      <c r="BO505">
        <f t="shared" si="473"/>
        <v>0</v>
      </c>
      <c r="BP505">
        <f t="shared" si="474"/>
        <v>0</v>
      </c>
    </row>
    <row r="506" spans="14:68">
      <c r="N506" s="7">
        <v>88</v>
      </c>
      <c r="O506" s="18">
        <f t="shared" si="475"/>
        <v>758577.575029184</v>
      </c>
      <c r="P506" s="86" t="str">
        <f t="shared" si="425"/>
        <v>54,5454545454545</v>
      </c>
      <c r="Q506" s="4" t="str">
        <f t="shared" si="426"/>
        <v>1+9705,88634660509i</v>
      </c>
      <c r="R506" s="4">
        <f t="shared" si="437"/>
        <v>9705.88639812022</v>
      </c>
      <c r="S506" s="4">
        <f t="shared" si="438"/>
        <v>1.57069329653462</v>
      </c>
      <c r="T506" s="4" t="str">
        <f t="shared" si="427"/>
        <v>1+74,7353248688593i</v>
      </c>
      <c r="U506" s="4">
        <f t="shared" si="439"/>
        <v>74.7420148460954</v>
      </c>
      <c r="V506" s="4">
        <f t="shared" si="440"/>
        <v>1.55741657192758</v>
      </c>
      <c r="W506" t="str">
        <f t="shared" si="428"/>
        <v>1-214,482756320068i</v>
      </c>
      <c r="X506" s="4">
        <f t="shared" si="441"/>
        <v>214.485087497135</v>
      </c>
      <c r="Y506" s="4">
        <f t="shared" si="442"/>
        <v>-1.56613398110649</v>
      </c>
      <c r="Z506" t="str">
        <f t="shared" si="429"/>
        <v>-3,69746887622172+14,8095236506714i</v>
      </c>
      <c r="AA506" s="4">
        <f t="shared" si="443"/>
        <v>15.2641169692329</v>
      </c>
      <c r="AB506" s="4">
        <f t="shared" si="444"/>
        <v>1.81546279528871</v>
      </c>
      <c r="AC506" s="67" t="str">
        <f t="shared" si="445"/>
        <v>-5,71388883854152+1,47898082105504i</v>
      </c>
      <c r="AD506" s="68">
        <f t="shared" si="446"/>
        <v>15.4202715896877</v>
      </c>
      <c r="AE506" s="31">
        <f t="shared" si="447"/>
        <v>165.48807641177</v>
      </c>
      <c r="AF506" s="32" t="str">
        <f t="shared" si="448"/>
        <v>432,040091031901</v>
      </c>
      <c r="AG506" s="32" t="str">
        <f t="shared" si="430"/>
        <v>1+7908,49998612267i</v>
      </c>
      <c r="AH506" s="32">
        <f t="shared" si="449"/>
        <v>7908.50004934578</v>
      </c>
      <c r="AI506" s="32">
        <f t="shared" si="450"/>
        <v>1.57066988056661</v>
      </c>
      <c r="AJ506" s="32" t="str">
        <f t="shared" si="431"/>
        <v>1+74,7353248688593i</v>
      </c>
      <c r="AK506" s="32">
        <f t="shared" si="451"/>
        <v>74.7420148460954</v>
      </c>
      <c r="AL506" s="32">
        <f t="shared" si="452"/>
        <v>1.55741657192758</v>
      </c>
      <c r="AM506" s="32" t="str">
        <f t="shared" si="432"/>
        <v>1-22,063605206193i</v>
      </c>
      <c r="AN506" s="32">
        <f t="shared" si="453"/>
        <v>22.0862553343646</v>
      </c>
      <c r="AO506" s="32">
        <f t="shared" si="454"/>
        <v>-1.52550381483933</v>
      </c>
      <c r="AP506" s="30" t="str">
        <f t="shared" si="455"/>
        <v>2,88884487367112-90,1350854735105i</v>
      </c>
      <c r="AQ506" s="32">
        <f t="shared" si="456"/>
        <v>39.1023363396489</v>
      </c>
      <c r="AR506" s="31">
        <f t="shared" si="457"/>
        <v>-88.1642888710005</v>
      </c>
      <c r="AS506" t="str">
        <f t="shared" si="433"/>
        <v>-0,000201496259351621</v>
      </c>
      <c r="AT506" t="str">
        <f t="shared" si="434"/>
        <v>1,07098389655821i</v>
      </c>
      <c r="AU506">
        <f t="shared" si="458"/>
        <v>1.07098389655821</v>
      </c>
      <c r="AV506">
        <f t="shared" si="459"/>
        <v>1.5707963267949</v>
      </c>
      <c r="AW506" t="str">
        <f t="shared" si="435"/>
        <v>1+54,8324111246972i</v>
      </c>
      <c r="AX506">
        <f t="shared" si="460"/>
        <v>54.8415290609937</v>
      </c>
      <c r="AY506">
        <f t="shared" si="461"/>
        <v>1.55256095953381</v>
      </c>
      <c r="AZ506" t="str">
        <f t="shared" si="436"/>
        <v>1+2621,45591057861i</v>
      </c>
      <c r="BA506">
        <f t="shared" si="462"/>
        <v>2621.45610131231</v>
      </c>
      <c r="BB506">
        <f t="shared" si="463"/>
        <v>1.57041485940212</v>
      </c>
      <c r="BC506" s="30" t="str">
        <f t="shared" si="464"/>
        <v>-0,00016055620839474+0,00899182528696202i</v>
      </c>
      <c r="BD506" s="32">
        <f t="shared" si="465"/>
        <v>-40.9216583643025</v>
      </c>
      <c r="BE506" s="31">
        <f t="shared" si="466"/>
        <v>91.0229531103031</v>
      </c>
      <c r="BF506" s="30" t="str">
        <f t="shared" si="467"/>
        <v>-0,0123813368185893-0,0516157496982048i</v>
      </c>
      <c r="BG506" s="68">
        <f t="shared" si="468"/>
        <v>-25.5013867746148</v>
      </c>
      <c r="BH506" s="31">
        <f t="shared" si="469"/>
        <v>-103.488970477927</v>
      </c>
      <c r="BI506" s="30" t="str">
        <f t="shared" si="476"/>
        <v>0,810015118823638+0,0404477359521492i</v>
      </c>
      <c r="BJ506" s="68">
        <f t="shared" si="470"/>
        <v>-1.8193220246536</v>
      </c>
      <c r="BK506" s="31">
        <f t="shared" si="477"/>
        <v>2.85866423930257</v>
      </c>
      <c r="BL506" s="32">
        <f t="shared" si="471"/>
        <v>-25.5013867746148</v>
      </c>
      <c r="BM506" s="31">
        <f t="shared" si="472"/>
        <v>-103.488970477927</v>
      </c>
      <c r="BO506">
        <f t="shared" si="473"/>
        <v>0</v>
      </c>
      <c r="BP506">
        <f t="shared" si="474"/>
        <v>0</v>
      </c>
    </row>
    <row r="507" spans="14:68">
      <c r="N507" s="7">
        <v>89</v>
      </c>
      <c r="O507" s="18">
        <f t="shared" si="475"/>
        <v>776247.116628692</v>
      </c>
      <c r="P507" s="86" t="str">
        <f t="shared" si="425"/>
        <v>54,5454545454545</v>
      </c>
      <c r="Q507" s="4" t="str">
        <f t="shared" si="426"/>
        <v>1+9931,96548235445i</v>
      </c>
      <c r="R507" s="4">
        <f t="shared" si="437"/>
        <v>9931.96553269695</v>
      </c>
      <c r="S507" s="4">
        <f t="shared" si="438"/>
        <v>1.57069564178966</v>
      </c>
      <c r="T507" s="4" t="str">
        <f t="shared" si="427"/>
        <v>1+76,4761342141293i</v>
      </c>
      <c r="U507" s="4">
        <f t="shared" si="439"/>
        <v>76.4826719220603</v>
      </c>
      <c r="V507" s="4">
        <f t="shared" si="440"/>
        <v>1.5577210972162</v>
      </c>
      <c r="W507" t="str">
        <f t="shared" si="428"/>
        <v>1-219,478701507387i</v>
      </c>
      <c r="X507" s="4">
        <f t="shared" si="441"/>
        <v>219.480979620943</v>
      </c>
      <c r="Y507" s="4">
        <f t="shared" si="442"/>
        <v>-1.56624010756537</v>
      </c>
      <c r="Z507" t="str">
        <f t="shared" si="429"/>
        <v>-3,91885376387234+15,1544817707481i</v>
      </c>
      <c r="AA507" s="4">
        <f t="shared" si="443"/>
        <v>15.652978392707</v>
      </c>
      <c r="AB507" s="4">
        <f t="shared" si="444"/>
        <v>1.82384669669883</v>
      </c>
      <c r="AC507" s="67" t="str">
        <f t="shared" si="445"/>
        <v>-5,68942729893037+1,52246109538783i</v>
      </c>
      <c r="AD507" s="68">
        <f t="shared" si="446"/>
        <v>15.4017263458605</v>
      </c>
      <c r="AE507" s="31">
        <f t="shared" si="447"/>
        <v>165.018947287505</v>
      </c>
      <c r="AF507" s="32" t="str">
        <f t="shared" si="448"/>
        <v>432,040091031901</v>
      </c>
      <c r="AG507" s="32" t="str">
        <f t="shared" si="430"/>
        <v>1+8092,71261525177i</v>
      </c>
      <c r="AH507" s="32">
        <f t="shared" si="449"/>
        <v>8092.71267703575</v>
      </c>
      <c r="AI507" s="32">
        <f t="shared" si="450"/>
        <v>1.57067275883413</v>
      </c>
      <c r="AJ507" s="32" t="str">
        <f t="shared" si="431"/>
        <v>1+76,4761342141293i</v>
      </c>
      <c r="AK507" s="32">
        <f t="shared" si="451"/>
        <v>76.4826719220603</v>
      </c>
      <c r="AL507" s="32">
        <f t="shared" si="452"/>
        <v>1.5577210972162</v>
      </c>
      <c r="AM507" s="32" t="str">
        <f t="shared" si="432"/>
        <v>1-22,5775325919465i</v>
      </c>
      <c r="AN507" s="32">
        <f t="shared" si="453"/>
        <v>22.5996676511051</v>
      </c>
      <c r="AO507" s="32">
        <f t="shared" si="454"/>
        <v>-1.5265334365611</v>
      </c>
      <c r="AP507" s="30" t="str">
        <f t="shared" si="455"/>
        <v>2,88884456485057-92,2321021276925i</v>
      </c>
      <c r="AQ507" s="32">
        <f t="shared" si="456"/>
        <v>39.3019006300868</v>
      </c>
      <c r="AR507" s="31">
        <f t="shared" si="457"/>
        <v>-88.2059987489418</v>
      </c>
      <c r="AS507" t="str">
        <f t="shared" si="433"/>
        <v>-0,000201496259351621</v>
      </c>
      <c r="AT507" t="str">
        <f t="shared" si="434"/>
        <v>1,09593031619355i</v>
      </c>
      <c r="AU507">
        <f t="shared" si="458"/>
        <v>1.09593031619355</v>
      </c>
      <c r="AV507">
        <f t="shared" si="459"/>
        <v>1.5707963267949</v>
      </c>
      <c r="AW507" t="str">
        <f t="shared" si="435"/>
        <v>1+56,10962205376i</v>
      </c>
      <c r="AX507">
        <f t="shared" si="460"/>
        <v>56.1185324738254</v>
      </c>
      <c r="AY507">
        <f t="shared" si="461"/>
        <v>1.55297595827374</v>
      </c>
      <c r="AZ507" t="str">
        <f t="shared" si="436"/>
        <v>1+2682,51746286805i</v>
      </c>
      <c r="BA507">
        <f t="shared" si="462"/>
        <v>2682.51764926012</v>
      </c>
      <c r="BB507">
        <f t="shared" si="463"/>
        <v>1.57042354265928</v>
      </c>
      <c r="BC507" s="30" t="str">
        <f t="shared" si="464"/>
        <v>-0,000153332283212115+0,00878727510138866i</v>
      </c>
      <c r="BD507" s="32">
        <f t="shared" si="465"/>
        <v>-41.1215934018521</v>
      </c>
      <c r="BE507" s="31">
        <f t="shared" si="466"/>
        <v>90.9996729479897</v>
      </c>
      <c r="BF507" s="30" t="str">
        <f t="shared" si="467"/>
        <v>-0,0125059115984201-0,0502280052809092i</v>
      </c>
      <c r="BG507" s="68">
        <f t="shared" si="468"/>
        <v>-25.7198670559916</v>
      </c>
      <c r="BH507" s="31">
        <f t="shared" si="469"/>
        <v>-103.981379764506</v>
      </c>
      <c r="BI507" s="30" t="str">
        <f t="shared" si="476"/>
        <v>0,810025901442435+0,0395272307211854i</v>
      </c>
      <c r="BJ507" s="68">
        <f t="shared" si="470"/>
        <v>-1.81969277176525</v>
      </c>
      <c r="BK507" s="31">
        <f t="shared" si="477"/>
        <v>2.79367419904783</v>
      </c>
      <c r="BL507" s="32">
        <f t="shared" si="471"/>
        <v>-25.7198670559916</v>
      </c>
      <c r="BM507" s="31">
        <f t="shared" si="472"/>
        <v>-103.981379764506</v>
      </c>
      <c r="BO507">
        <f t="shared" si="473"/>
        <v>0</v>
      </c>
      <c r="BP507">
        <f t="shared" si="474"/>
        <v>0</v>
      </c>
    </row>
    <row r="508" spans="14:68">
      <c r="N508" s="7">
        <v>90</v>
      </c>
      <c r="O508" s="18">
        <f t="shared" si="475"/>
        <v>794328.234724283</v>
      </c>
      <c r="P508" s="86" t="str">
        <f t="shared" si="425"/>
        <v>54,5454545454545</v>
      </c>
      <c r="Q508" s="4" t="str">
        <f t="shared" si="426"/>
        <v>1+10163,3106776676i</v>
      </c>
      <c r="R508" s="4">
        <f t="shared" si="437"/>
        <v>10163.3107268642</v>
      </c>
      <c r="S508" s="4">
        <f t="shared" si="438"/>
        <v>1.57069793366017</v>
      </c>
      <c r="T508" s="4" t="str">
        <f t="shared" si="427"/>
        <v>1+78,257492218041i</v>
      </c>
      <c r="U508" s="4">
        <f t="shared" si="439"/>
        <v>78.2638811218607</v>
      </c>
      <c r="V508" s="4">
        <f t="shared" si="440"/>
        <v>1.55801869300643</v>
      </c>
      <c r="W508" t="str">
        <f t="shared" si="428"/>
        <v>1-224,591017207388i</v>
      </c>
      <c r="X508" s="4">
        <f t="shared" si="441"/>
        <v>224.593243465268</v>
      </c>
      <c r="Y508" s="4">
        <f t="shared" si="442"/>
        <v>-1.56634381839029</v>
      </c>
      <c r="Z508" t="str">
        <f t="shared" si="429"/>
        <v>-4,15067219983836+15,507474997653i</v>
      </c>
      <c r="AA508" s="4">
        <f t="shared" si="443"/>
        <v>16.0533442158743</v>
      </c>
      <c r="AB508" s="4">
        <f t="shared" si="444"/>
        <v>1.83232235120288</v>
      </c>
      <c r="AC508" s="67" t="str">
        <f t="shared" si="445"/>
        <v>-5,66395014602242+1,56603675152267i</v>
      </c>
      <c r="AD508" s="68">
        <f t="shared" si="446"/>
        <v>15.3823182311424</v>
      </c>
      <c r="AE508" s="31">
        <f t="shared" si="447"/>
        <v>164.544305531528</v>
      </c>
      <c r="AF508" s="32" t="str">
        <f t="shared" si="448"/>
        <v>432,040091031901</v>
      </c>
      <c r="AG508" s="32" t="str">
        <f t="shared" si="430"/>
        <v>1+8281,21610772919i</v>
      </c>
      <c r="AH508" s="32">
        <f t="shared" si="449"/>
        <v>8281.2161681068</v>
      </c>
      <c r="AI508" s="32">
        <f t="shared" si="450"/>
        <v>1.57067557158429</v>
      </c>
      <c r="AJ508" s="32" t="str">
        <f t="shared" si="431"/>
        <v>1+78,257492218041i</v>
      </c>
      <c r="AK508" s="32">
        <f t="shared" si="451"/>
        <v>78.2638811218607</v>
      </c>
      <c r="AL508" s="32">
        <f t="shared" si="452"/>
        <v>1.55801869300643</v>
      </c>
      <c r="AM508" s="32" t="str">
        <f t="shared" si="432"/>
        <v>1-23,1034308843292i</v>
      </c>
      <c r="AN508" s="32">
        <f t="shared" si="453"/>
        <v>23.125062564823</v>
      </c>
      <c r="AO508" s="32">
        <f t="shared" si="454"/>
        <v>-1.52753971198252</v>
      </c>
      <c r="AP508" s="30" t="str">
        <f t="shared" si="455"/>
        <v>2,88884426992923-94,3780214632555i</v>
      </c>
      <c r="AQ508" s="32">
        <f t="shared" si="456"/>
        <v>39.5014844959032</v>
      </c>
      <c r="AR508" s="31">
        <f t="shared" si="457"/>
        <v>-88.2467642595486</v>
      </c>
      <c r="AS508" t="str">
        <f t="shared" si="433"/>
        <v>-0,000201496259351621</v>
      </c>
      <c r="AT508" t="str">
        <f t="shared" si="434"/>
        <v>1,12145781258889i</v>
      </c>
      <c r="AU508">
        <f t="shared" si="458"/>
        <v>1.12145781258889</v>
      </c>
      <c r="AV508">
        <f t="shared" si="459"/>
        <v>1.5707963267949</v>
      </c>
      <c r="AW508" t="str">
        <f t="shared" si="435"/>
        <v>1+57,4165830471343i</v>
      </c>
      <c r="AX508">
        <f t="shared" si="460"/>
        <v>57.4252906723899</v>
      </c>
      <c r="AY508">
        <f t="shared" si="461"/>
        <v>1.55338151642101</v>
      </c>
      <c r="AZ508" t="str">
        <f t="shared" si="436"/>
        <v>1+2745,00132142363i</v>
      </c>
      <c r="BA508">
        <f t="shared" si="462"/>
        <v>2745.0015035729</v>
      </c>
      <c r="BB508">
        <f t="shared" si="463"/>
        <v>1.57043202826143</v>
      </c>
      <c r="BC508" s="30" t="str">
        <f t="shared" si="464"/>
        <v>-0,000146433286385952+0,00858737245672388i</v>
      </c>
      <c r="BD508" s="32">
        <f t="shared" si="465"/>
        <v>-41.3215313622856</v>
      </c>
      <c r="BE508" s="31">
        <f t="shared" si="466"/>
        <v>90.976922366994</v>
      </c>
      <c r="BF508" s="30" t="str">
        <f t="shared" si="467"/>
        <v>-0,0126187500324349-0,0488677693883368i</v>
      </c>
      <c r="BG508" s="68">
        <f t="shared" si="468"/>
        <v>-25.9392131311432</v>
      </c>
      <c r="BH508" s="31">
        <f t="shared" si="469"/>
        <v>-104.478772101478</v>
      </c>
      <c r="BI508" s="30" t="str">
        <f t="shared" si="476"/>
        <v>0,810036199073352+0,0386276655608233i</v>
      </c>
      <c r="BJ508" s="68">
        <f t="shared" si="470"/>
        <v>-1.82004686638238</v>
      </c>
      <c r="BK508" s="31">
        <f t="shared" si="477"/>
        <v>2.73015810744546</v>
      </c>
      <c r="BL508" s="32">
        <f t="shared" si="471"/>
        <v>-25.9392131311432</v>
      </c>
      <c r="BM508" s="31">
        <f t="shared" si="472"/>
        <v>-104.478772101478</v>
      </c>
      <c r="BO508">
        <f t="shared" si="473"/>
        <v>0</v>
      </c>
      <c r="BP508">
        <f t="shared" si="474"/>
        <v>0</v>
      </c>
    </row>
    <row r="509" spans="14:68">
      <c r="N509" s="7">
        <v>91</v>
      </c>
      <c r="O509" s="18">
        <f t="shared" si="475"/>
        <v>812830.516164101</v>
      </c>
      <c r="P509" s="86" t="str">
        <f t="shared" si="425"/>
        <v>54,5454545454545</v>
      </c>
      <c r="Q509" s="4" t="str">
        <f t="shared" si="426"/>
        <v>1+10400,0445948295i</v>
      </c>
      <c r="R509" s="4">
        <f t="shared" si="437"/>
        <v>10400.0446429062</v>
      </c>
      <c r="S509" s="4">
        <f t="shared" si="438"/>
        <v>1.57070017336134</v>
      </c>
      <c r="T509" s="4" t="str">
        <f t="shared" si="427"/>
        <v>1+80,0803433801871i</v>
      </c>
      <c r="U509" s="4">
        <f t="shared" si="439"/>
        <v>80.0865868662704</v>
      </c>
      <c r="V509" s="4">
        <f t="shared" si="440"/>
        <v>1.55830951687653</v>
      </c>
      <c r="W509" t="str">
        <f t="shared" si="428"/>
        <v>1-229,822414037527i</v>
      </c>
      <c r="X509" s="4">
        <f t="shared" si="441"/>
        <v>229.824589620076</v>
      </c>
      <c r="Y509" s="4">
        <f t="shared" si="442"/>
        <v>-1.56644516856118</v>
      </c>
      <c r="Z509" t="str">
        <f t="shared" si="429"/>
        <v>-4,39341590210288+15,8686904930673i</v>
      </c>
      <c r="AA509" s="4">
        <f t="shared" si="443"/>
        <v>16.465644270833</v>
      </c>
      <c r="AB509" s="4">
        <f t="shared" si="444"/>
        <v>1.84089154131965</v>
      </c>
      <c r="AC509" s="67" t="str">
        <f t="shared" si="445"/>
        <v>-5,63743409511866+1,6096897215995i</v>
      </c>
      <c r="AD509" s="68">
        <f t="shared" si="446"/>
        <v>15.3620182345269</v>
      </c>
      <c r="AE509" s="31">
        <f t="shared" si="447"/>
        <v>164.064054821861</v>
      </c>
      <c r="AF509" s="32" t="str">
        <f t="shared" si="448"/>
        <v>432,040091031901</v>
      </c>
      <c r="AG509" s="32" t="str">
        <f t="shared" si="430"/>
        <v>1+8474,1104106018i</v>
      </c>
      <c r="AH509" s="32">
        <f t="shared" si="449"/>
        <v>8474.11046960504</v>
      </c>
      <c r="AI509" s="32">
        <f t="shared" si="450"/>
        <v>1.57067832030844</v>
      </c>
      <c r="AJ509" s="32" t="str">
        <f t="shared" si="431"/>
        <v>1+80,0803433801871i</v>
      </c>
      <c r="AK509" s="32">
        <f t="shared" si="451"/>
        <v>80.0865868662704</v>
      </c>
      <c r="AL509" s="32">
        <f t="shared" si="452"/>
        <v>1.55830951687653</v>
      </c>
      <c r="AM509" s="32" t="str">
        <f t="shared" si="432"/>
        <v>1-23,6415789215768i</v>
      </c>
      <c r="AN509" s="32">
        <f t="shared" si="453"/>
        <v>23.6627186499173</v>
      </c>
      <c r="AO509" s="32">
        <f t="shared" si="454"/>
        <v>-1.52852316648792</v>
      </c>
      <c r="AP509" s="30" t="str">
        <f t="shared" si="455"/>
        <v>2,88884398828154-96,5739812750355i</v>
      </c>
      <c r="AQ509" s="32">
        <f t="shared" si="456"/>
        <v>39.7010870591158</v>
      </c>
      <c r="AR509" s="31">
        <f t="shared" si="457"/>
        <v>-88.286606562006</v>
      </c>
      <c r="AS509" t="str">
        <f t="shared" si="433"/>
        <v>-0,000201496259351621</v>
      </c>
      <c r="AT509" t="str">
        <f t="shared" si="434"/>
        <v>1,14757992076072i</v>
      </c>
      <c r="AU509">
        <f t="shared" si="458"/>
        <v>1.14757992076072</v>
      </c>
      <c r="AV509">
        <f t="shared" si="459"/>
        <v>1.5707963267949</v>
      </c>
      <c r="AW509" t="str">
        <f t="shared" si="435"/>
        <v>1+58,7539870728385i</v>
      </c>
      <c r="AX509">
        <f t="shared" si="460"/>
        <v>58.7624965173815</v>
      </c>
      <c r="AY509">
        <f t="shared" si="461"/>
        <v>1.55377784847396</v>
      </c>
      <c r="AZ509" t="str">
        <f t="shared" si="436"/>
        <v>1+2808,94061601421i</v>
      </c>
      <c r="BA509">
        <f t="shared" si="462"/>
        <v>2808.94079401726</v>
      </c>
      <c r="BB509">
        <f t="shared" si="463"/>
        <v>1.57044032070774</v>
      </c>
      <c r="BC509" s="30" t="str">
        <f t="shared" si="464"/>
        <v>-0,000139844611482574+0,00839201213496881i</v>
      </c>
      <c r="BD509" s="32">
        <f t="shared" si="465"/>
        <v>-41.5214721141316</v>
      </c>
      <c r="BE509" s="31">
        <f t="shared" si="466"/>
        <v>90.9546893352497</v>
      </c>
      <c r="BF509" s="30" t="str">
        <f t="shared" si="467"/>
        <v>-0,0127201708964071-0,0475345217700473i</v>
      </c>
      <c r="BG509" s="68">
        <f t="shared" si="468"/>
        <v>-26.1594538796047</v>
      </c>
      <c r="BH509" s="31">
        <f t="shared" si="469"/>
        <v>-104.981255842889</v>
      </c>
      <c r="BI509" s="30" t="str">
        <f t="shared" si="476"/>
        <v>0,810046033517173+0,0377485646964231i</v>
      </c>
      <c r="BJ509" s="68">
        <f t="shared" si="470"/>
        <v>-1.82038505501579</v>
      </c>
      <c r="BK509" s="31">
        <f t="shared" si="477"/>
        <v>2.66808277324375</v>
      </c>
      <c r="BL509" s="32">
        <f t="shared" si="471"/>
        <v>-26.1594538796047</v>
      </c>
      <c r="BM509" s="31">
        <f t="shared" si="472"/>
        <v>-104.981255842889</v>
      </c>
      <c r="BO509">
        <f t="shared" si="473"/>
        <v>0</v>
      </c>
      <c r="BP509">
        <f t="shared" si="474"/>
        <v>0</v>
      </c>
    </row>
    <row r="510" spans="14:68">
      <c r="N510" s="7">
        <v>92</v>
      </c>
      <c r="O510" s="18">
        <f t="shared" si="475"/>
        <v>831763.771102671</v>
      </c>
      <c r="P510" s="86" t="str">
        <f t="shared" si="425"/>
        <v>54,5454545454545</v>
      </c>
      <c r="Q510" s="4" t="str">
        <f t="shared" si="426"/>
        <v>1+10642,2927532963i</v>
      </c>
      <c r="R510" s="4">
        <f t="shared" si="437"/>
        <v>10642.2928002787</v>
      </c>
      <c r="S510" s="4">
        <f t="shared" si="438"/>
        <v>1.57070236208069</v>
      </c>
      <c r="T510" s="4" t="str">
        <f t="shared" si="427"/>
        <v>1+81,9456542003818i</v>
      </c>
      <c r="U510" s="4">
        <f t="shared" si="439"/>
        <v>81.951755578075</v>
      </c>
      <c r="V510" s="4">
        <f t="shared" si="440"/>
        <v>1.55859372282828</v>
      </c>
      <c r="W510" t="str">
        <f t="shared" si="428"/>
        <v>1-235,175665753647i</v>
      </c>
      <c r="X510" s="4">
        <f t="shared" si="441"/>
        <v>235.177791814344</v>
      </c>
      <c r="Y510" s="4">
        <f t="shared" si="442"/>
        <v>-1.56654421180689</v>
      </c>
      <c r="Z510" t="str">
        <f t="shared" si="429"/>
        <v>-4,64759976260361+16,238319778228i</v>
      </c>
      <c r="AA510" s="4">
        <f t="shared" si="443"/>
        <v>16.8903289717324</v>
      </c>
      <c r="AB510" s="4">
        <f t="shared" si="444"/>
        <v>1.84955594998703</v>
      </c>
      <c r="AC510" s="67" t="str">
        <f t="shared" si="445"/>
        <v>-5,60985599851243+1,65340017797456i</v>
      </c>
      <c r="AD510" s="68">
        <f t="shared" si="446"/>
        <v>15.3407964634555</v>
      </c>
      <c r="AE510" s="31">
        <f t="shared" si="447"/>
        <v>163.578104410441</v>
      </c>
      <c r="AF510" s="32" t="str">
        <f t="shared" si="448"/>
        <v>432,040091031901</v>
      </c>
      <c r="AG510" s="32" t="str">
        <f t="shared" si="430"/>
        <v>1+8671,49779898219i</v>
      </c>
      <c r="AH510" s="32">
        <f t="shared" si="449"/>
        <v>8671.49785664235</v>
      </c>
      <c r="AI510" s="32">
        <f t="shared" si="450"/>
        <v>1.570681006464</v>
      </c>
      <c r="AJ510" s="32" t="str">
        <f t="shared" si="431"/>
        <v>1+81,9456542003818i</v>
      </c>
      <c r="AK510" s="32">
        <f t="shared" si="451"/>
        <v>81.951755578075</v>
      </c>
      <c r="AL510" s="32">
        <f t="shared" si="452"/>
        <v>1.55859372282828</v>
      </c>
      <c r="AM510" s="32" t="str">
        <f t="shared" si="432"/>
        <v>1-24,1922620369019i</v>
      </c>
      <c r="AN510" s="32">
        <f t="shared" si="453"/>
        <v>24.212920981619</v>
      </c>
      <c r="AO510" s="32">
        <f t="shared" si="454"/>
        <v>-1.52948431390414</v>
      </c>
      <c r="AP510" s="30" t="str">
        <f t="shared" si="455"/>
        <v>2,88884371931008-98,8211458899924i</v>
      </c>
      <c r="AQ510" s="32">
        <f t="shared" si="456"/>
        <v>39.90070748099</v>
      </c>
      <c r="AR510" s="31">
        <f t="shared" si="457"/>
        <v>-88.325546356274</v>
      </c>
      <c r="AS510" t="str">
        <f t="shared" si="433"/>
        <v>-0,000201496259351621</v>
      </c>
      <c r="AT510" t="str">
        <f t="shared" si="434"/>
        <v>1,17431049099654i</v>
      </c>
      <c r="AU510">
        <f t="shared" si="458"/>
        <v>1.17431049099654</v>
      </c>
      <c r="AV510">
        <f t="shared" si="459"/>
        <v>1.5707963267949</v>
      </c>
      <c r="AW510" t="str">
        <f t="shared" si="435"/>
        <v>1+60,1225432401895i</v>
      </c>
      <c r="AX510">
        <f t="shared" si="460"/>
        <v>60.1308590132259</v>
      </c>
      <c r="AY510">
        <f t="shared" si="461"/>
        <v>1.55416516407477</v>
      </c>
      <c r="AZ510" t="str">
        <f t="shared" si="436"/>
        <v>1+2874,36924810012i</v>
      </c>
      <c r="BA510">
        <f t="shared" si="462"/>
        <v>2874.36942205132</v>
      </c>
      <c r="BB510">
        <f t="shared" si="463"/>
        <v>1.57044842439498</v>
      </c>
      <c r="BC510" s="30" t="str">
        <f t="shared" si="464"/>
        <v>-0,000133552307905203+0,0082010912749786i</v>
      </c>
      <c r="BD510" s="32">
        <f t="shared" si="465"/>
        <v>-41.7214155318284</v>
      </c>
      <c r="BE510" s="31">
        <f t="shared" si="466"/>
        <v>90.9329620930609</v>
      </c>
      <c r="BF510" s="30" t="str">
        <f t="shared" si="467"/>
        <v>-0,012810476558018-0,046227756492946i</v>
      </c>
      <c r="BG510" s="68">
        <f t="shared" si="468"/>
        <v>-26.380619068373</v>
      </c>
      <c r="BH510" s="31">
        <f t="shared" si="469"/>
        <v>-105.488933496498</v>
      </c>
      <c r="BI510" s="30" t="str">
        <f t="shared" si="476"/>
        <v>0,810055425595913+0,0368894631246559i</v>
      </c>
      <c r="BJ510" s="68">
        <f t="shared" si="470"/>
        <v>-1.82070805083847</v>
      </c>
      <c r="BK510" s="31">
        <f t="shared" si="477"/>
        <v>2.60741573678691</v>
      </c>
      <c r="BL510" s="32">
        <f t="shared" si="471"/>
        <v>-26.380619068373</v>
      </c>
      <c r="BM510" s="31">
        <f t="shared" si="472"/>
        <v>-105.488933496498</v>
      </c>
      <c r="BO510">
        <f t="shared" si="473"/>
        <v>0</v>
      </c>
      <c r="BP510">
        <f t="shared" si="474"/>
        <v>0</v>
      </c>
    </row>
    <row r="511" spans="14:68">
      <c r="N511" s="7">
        <v>93</v>
      </c>
      <c r="O511" s="18">
        <f t="shared" si="475"/>
        <v>851138.038202377</v>
      </c>
      <c r="P511" s="86" t="str">
        <f t="shared" si="425"/>
        <v>54,5454545454545</v>
      </c>
      <c r="Q511" s="4" t="str">
        <f t="shared" si="426"/>
        <v>1+10890,1835962484i</v>
      </c>
      <c r="R511" s="4">
        <f t="shared" si="437"/>
        <v>10890.1836421613</v>
      </c>
      <c r="S511" s="4">
        <f t="shared" si="438"/>
        <v>1.57070450097871</v>
      </c>
      <c r="T511" s="4" t="str">
        <f t="shared" si="427"/>
        <v>1+83,8544136911126i</v>
      </c>
      <c r="U511" s="4">
        <f t="shared" si="439"/>
        <v>83.8603761944832</v>
      </c>
      <c r="V511" s="4">
        <f t="shared" si="440"/>
        <v>1.55887146136767</v>
      </c>
      <c r="W511" t="str">
        <f t="shared" si="428"/>
        <v>1-240,653610720668i</v>
      </c>
      <c r="X511" s="4">
        <f t="shared" si="441"/>
        <v>240.655688386738</v>
      </c>
      <c r="Y511" s="4">
        <f t="shared" si="442"/>
        <v>-1.5666410006337</v>
      </c>
      <c r="Z511" t="str">
        <f t="shared" si="429"/>
        <v>-4,91376293938771+16,6165588354747i</v>
      </c>
      <c r="AA511" s="4">
        <f t="shared" si="443"/>
        <v>17.3278704334172</v>
      </c>
      <c r="AB511" s="4">
        <f t="shared" si="444"/>
        <v>1.85831715462131</v>
      </c>
      <c r="AC511" s="67" t="str">
        <f t="shared" si="445"/>
        <v>-5,58119294428844+1,69714648820056i</v>
      </c>
      <c r="AD511" s="68">
        <f t="shared" si="446"/>
        <v>15.3186221561683</v>
      </c>
      <c r="AE511" s="31">
        <f t="shared" si="447"/>
        <v>163.086369466453</v>
      </c>
      <c r="AF511" s="32" t="str">
        <f t="shared" si="448"/>
        <v>432,040091031901</v>
      </c>
      <c r="AG511" s="32" t="str">
        <f t="shared" si="430"/>
        <v>1+8873,48293027645i</v>
      </c>
      <c r="AH511" s="32">
        <f t="shared" si="449"/>
        <v>8873.48298662411</v>
      </c>
      <c r="AI511" s="32">
        <f t="shared" si="450"/>
        <v>1.57068363147519</v>
      </c>
      <c r="AJ511" s="32" t="str">
        <f t="shared" si="431"/>
        <v>1+83,8544136911126i</v>
      </c>
      <c r="AK511" s="32">
        <f t="shared" si="451"/>
        <v>83.8603761944832</v>
      </c>
      <c r="AL511" s="32">
        <f t="shared" si="452"/>
        <v>1.55887146136767</v>
      </c>
      <c r="AM511" s="32" t="str">
        <f t="shared" si="432"/>
        <v>1-24,7557722097814i</v>
      </c>
      <c r="AN511" s="32">
        <f t="shared" si="453"/>
        <v>24.7759612871546</v>
      </c>
      <c r="AO511" s="32">
        <f t="shared" si="454"/>
        <v>-1.53042365673691</v>
      </c>
      <c r="AP511" s="30" t="str">
        <f t="shared" si="455"/>
        <v>2,88884346244434-101,12070678455i</v>
      </c>
      <c r="AQ511" s="32">
        <f t="shared" si="456"/>
        <v>40.1003449602958</v>
      </c>
      <c r="AR511" s="31">
        <f t="shared" si="457"/>
        <v>-88.3636038920545</v>
      </c>
      <c r="AS511" t="str">
        <f t="shared" si="433"/>
        <v>-0,000201496259351621</v>
      </c>
      <c r="AT511" t="str">
        <f t="shared" si="434"/>
        <v>1,20166369619853i</v>
      </c>
      <c r="AU511">
        <f t="shared" si="458"/>
        <v>1.20166369619853</v>
      </c>
      <c r="AV511">
        <f t="shared" si="459"/>
        <v>1.5707963267949</v>
      </c>
      <c r="AW511" t="str">
        <f t="shared" si="435"/>
        <v>1+61,5229771757826i</v>
      </c>
      <c r="AX511">
        <f t="shared" si="460"/>
        <v>61.5311036840058</v>
      </c>
      <c r="AY511">
        <f t="shared" si="461"/>
        <v>1.55454366811821</v>
      </c>
      <c r="AZ511" t="str">
        <f t="shared" si="436"/>
        <v>1+2941,32190880815i</v>
      </c>
      <c r="BA511">
        <f t="shared" si="462"/>
        <v>2941.32207879974</v>
      </c>
      <c r="BB511">
        <f t="shared" si="463"/>
        <v>1.57045634361982</v>
      </c>
      <c r="BC511" s="30" t="str">
        <f t="shared" si="464"/>
        <v>-0,000127543051513642+0,00801450932135846i</v>
      </c>
      <c r="BD511" s="32">
        <f t="shared" si="465"/>
        <v>-41.9213614954597</v>
      </c>
      <c r="BE511" s="31">
        <f t="shared" si="466"/>
        <v>90.9117291470035</v>
      </c>
      <c r="BF511" s="30" t="str">
        <f t="shared" si="467"/>
        <v>-0,0128899539701932-0,0449469821182705i</v>
      </c>
      <c r="BG511" s="68">
        <f t="shared" si="468"/>
        <v>-26.6027393392914</v>
      </c>
      <c r="BH511" s="31">
        <f t="shared" si="469"/>
        <v>-106.001901386544</v>
      </c>
      <c r="BI511" s="30" t="str">
        <f t="shared" si="476"/>
        <v>0,810064395196586+0,0360499063722234i</v>
      </c>
      <c r="BJ511" s="68">
        <f t="shared" si="470"/>
        <v>-1.82101653516397</v>
      </c>
      <c r="BK511" s="31">
        <f t="shared" si="477"/>
        <v>2.54812525494901</v>
      </c>
      <c r="BL511" s="32">
        <f t="shared" si="471"/>
        <v>-26.6027393392914</v>
      </c>
      <c r="BM511" s="31">
        <f t="shared" si="472"/>
        <v>-106.001901386544</v>
      </c>
      <c r="BO511">
        <f t="shared" si="473"/>
        <v>0</v>
      </c>
      <c r="BP511">
        <f t="shared" si="474"/>
        <v>0</v>
      </c>
    </row>
    <row r="512" spans="14:68">
      <c r="N512" s="7">
        <v>94</v>
      </c>
      <c r="O512" s="18">
        <f t="shared" si="475"/>
        <v>870963.589956081</v>
      </c>
      <c r="P512" s="86" t="str">
        <f t="shared" si="425"/>
        <v>54,5454545454545</v>
      </c>
      <c r="Q512" s="4" t="str">
        <f t="shared" si="426"/>
        <v>1+11143,8485586918i</v>
      </c>
      <c r="R512" s="4">
        <f t="shared" si="437"/>
        <v>11143.8486035596</v>
      </c>
      <c r="S512" s="4">
        <f t="shared" si="438"/>
        <v>1.57070659118946</v>
      </c>
      <c r="T512" s="4" t="str">
        <f t="shared" si="427"/>
        <v>1+85,8076339019268i</v>
      </c>
      <c r="U512" s="4">
        <f t="shared" si="439"/>
        <v>85.8134606914737</v>
      </c>
      <c r="V512" s="4">
        <f t="shared" si="440"/>
        <v>1.55914287958387</v>
      </c>
      <c r="W512" t="str">
        <f t="shared" si="428"/>
        <v>1-246,25915341752i</v>
      </c>
      <c r="X512" s="4">
        <f t="shared" si="441"/>
        <v>246.261183790531</v>
      </c>
      <c r="Y512" s="4">
        <f t="shared" si="442"/>
        <v>-1.56673558635305</v>
      </c>
      <c r="Z512" t="str">
        <f t="shared" si="429"/>
        <v>-5,19247000023827+17,0036082121621i</v>
      </c>
      <c r="AA512" s="4">
        <f t="shared" si="443"/>
        <v>17.7787636503802</v>
      </c>
      <c r="AB512" s="4">
        <f t="shared" si="444"/>
        <v>1.86717662101981</v>
      </c>
      <c r="AC512" s="67" t="str">
        <f t="shared" si="445"/>
        <v>-5,55142236152293+1,7409051742952i</v>
      </c>
      <c r="AD512" s="68">
        <f t="shared" si="446"/>
        <v>15.2954636969997</v>
      </c>
      <c r="AE512" s="31">
        <f t="shared" si="447"/>
        <v>162.588771428576</v>
      </c>
      <c r="AF512" s="32" t="str">
        <f t="shared" si="448"/>
        <v>432,040091031901</v>
      </c>
      <c r="AG512" s="32" t="str">
        <f t="shared" si="430"/>
        <v>1+9080,17289967478i</v>
      </c>
      <c r="AH512" s="32">
        <f t="shared" si="449"/>
        <v>9080.17295473981</v>
      </c>
      <c r="AI512" s="32">
        <f t="shared" si="450"/>
        <v>1.57068619673383</v>
      </c>
      <c r="AJ512" s="32" t="str">
        <f t="shared" si="431"/>
        <v>1+85,8076339019268i</v>
      </c>
      <c r="AK512" s="32">
        <f t="shared" si="451"/>
        <v>85.8134606914737</v>
      </c>
      <c r="AL512" s="32">
        <f t="shared" si="452"/>
        <v>1.55914287958387</v>
      </c>
      <c r="AM512" s="32" t="str">
        <f t="shared" si="432"/>
        <v>1-25,3324082207679i</v>
      </c>
      <c r="AN512" s="32">
        <f t="shared" si="453"/>
        <v>25.352138100437</v>
      </c>
      <c r="AO512" s="32">
        <f t="shared" si="454"/>
        <v>-1.5313416864037</v>
      </c>
      <c r="AP512" s="30" t="str">
        <f t="shared" si="455"/>
        <v>2,88884321713945-103,473883216332i</v>
      </c>
      <c r="AQ512" s="32">
        <f t="shared" si="456"/>
        <v>40.2999987316413</v>
      </c>
      <c r="AR512" s="31">
        <f t="shared" si="457"/>
        <v>-88.4007989776521</v>
      </c>
      <c r="AS512" t="str">
        <f t="shared" si="433"/>
        <v>-0,000201496259351621</v>
      </c>
      <c r="AT512" t="str">
        <f t="shared" si="434"/>
        <v>1,22965403939815i</v>
      </c>
      <c r="AU512">
        <f t="shared" si="458"/>
        <v>1.22965403939815</v>
      </c>
      <c r="AV512">
        <f t="shared" si="459"/>
        <v>1.5707963267949</v>
      </c>
      <c r="AW512" t="str">
        <f t="shared" si="435"/>
        <v>1+62,956031408227i</v>
      </c>
      <c r="AX512">
        <f t="shared" si="460"/>
        <v>62.9639729581422</v>
      </c>
      <c r="AY512">
        <f t="shared" si="461"/>
        <v>1.55491356085808</v>
      </c>
      <c r="AZ512" t="str">
        <f t="shared" si="436"/>
        <v>1+3009,83409732523i</v>
      </c>
      <c r="BA512">
        <f t="shared" si="462"/>
        <v>3009.83426344734</v>
      </c>
      <c r="BB512">
        <f t="shared" si="463"/>
        <v>1.57046408258114</v>
      </c>
      <c r="BC512" s="30" t="str">
        <f t="shared" si="464"/>
        <v>-0,00012180411655425+0,00783216797435479i</v>
      </c>
      <c r="BD512" s="32">
        <f t="shared" si="465"/>
        <v>-42.1213098905001</v>
      </c>
      <c r="BE512" s="31">
        <f t="shared" si="466"/>
        <v>90.890979263958</v>
      </c>
      <c r="BF512" s="30" t="str">
        <f t="shared" si="467"/>
        <v>-0,0129588756561386-0,0436917218487967i</v>
      </c>
      <c r="BG512" s="68">
        <f t="shared" si="468"/>
        <v>-26.8258461935004</v>
      </c>
      <c r="BH512" s="31">
        <f t="shared" si="469"/>
        <v>-106.520249307466</v>
      </c>
      <c r="BI512" s="30" t="str">
        <f t="shared" si="476"/>
        <v>0,810072961313156+0,0352294502598146i</v>
      </c>
      <c r="BJ512" s="68">
        <f t="shared" si="470"/>
        <v>-1.82131115885877</v>
      </c>
      <c r="BK512" s="31">
        <f t="shared" si="477"/>
        <v>2.49018028630588</v>
      </c>
      <c r="BL512" s="32">
        <f t="shared" si="471"/>
        <v>-26.8258461935004</v>
      </c>
      <c r="BM512" s="31">
        <f t="shared" si="472"/>
        <v>-106.520249307466</v>
      </c>
      <c r="BO512">
        <f t="shared" si="473"/>
        <v>0</v>
      </c>
      <c r="BP512">
        <f t="shared" si="474"/>
        <v>0</v>
      </c>
    </row>
    <row r="513" spans="14:68">
      <c r="N513" s="7">
        <v>95</v>
      </c>
      <c r="O513" s="18">
        <f t="shared" si="475"/>
        <v>891250.938133747</v>
      </c>
      <c r="P513" s="86" t="str">
        <f t="shared" si="425"/>
        <v>54,5454545454545</v>
      </c>
      <c r="Q513" s="4" t="str">
        <f t="shared" si="426"/>
        <v>1+11403,4221371473i</v>
      </c>
      <c r="R513" s="4">
        <f t="shared" si="437"/>
        <v>11403.4221809938</v>
      </c>
      <c r="S513" s="4">
        <f t="shared" si="438"/>
        <v>1.57070863382121</v>
      </c>
      <c r="T513" s="4" t="str">
        <f t="shared" si="427"/>
        <v>1+87,8063504560343i</v>
      </c>
      <c r="U513" s="4">
        <f t="shared" si="439"/>
        <v>87.812044620359</v>
      </c>
      <c r="V513" s="4">
        <f t="shared" si="440"/>
        <v>1.55940812122635</v>
      </c>
      <c r="W513" t="str">
        <f t="shared" si="428"/>
        <v>1-251,995265977139i</v>
      </c>
      <c r="X513" s="4">
        <f t="shared" si="441"/>
        <v>251.997250133586</v>
      </c>
      <c r="Y513" s="4">
        <f t="shared" si="442"/>
        <v>-1.56682801910879</v>
      </c>
      <c r="Z513" t="str">
        <f t="shared" si="429"/>
        <v>-5,48431212019826+17,3996731269929i</v>
      </c>
      <c r="AA513" s="4">
        <f t="shared" si="443"/>
        <v>18.2435277388435</v>
      </c>
      <c r="AB513" s="4">
        <f t="shared" si="444"/>
        <v>1.87613569712288</v>
      </c>
      <c r="AC513" s="67" t="str">
        <f t="shared" si="445"/>
        <v>-5,52052213187696+1,78465087697159i</v>
      </c>
      <c r="AD513" s="68">
        <f t="shared" si="446"/>
        <v>15.2712886348279</v>
      </c>
      <c r="AE513" s="31">
        <f t="shared" si="447"/>
        <v>162.085238365228</v>
      </c>
      <c r="AF513" s="32" t="str">
        <f t="shared" si="448"/>
        <v>432,040091031901</v>
      </c>
      <c r="AG513" s="32" t="str">
        <f t="shared" si="430"/>
        <v>1+9291,67729693483i</v>
      </c>
      <c r="AH513" s="32">
        <f t="shared" si="449"/>
        <v>9291.67735074643</v>
      </c>
      <c r="AI513" s="32">
        <f t="shared" si="450"/>
        <v>1.57068870360005</v>
      </c>
      <c r="AJ513" s="32" t="str">
        <f t="shared" si="431"/>
        <v>1+87,8063504560343i</v>
      </c>
      <c r="AK513" s="32">
        <f t="shared" si="451"/>
        <v>87.812044620359</v>
      </c>
      <c r="AL513" s="32">
        <f t="shared" si="452"/>
        <v>1.55940812122635</v>
      </c>
      <c r="AM513" s="32" t="str">
        <f t="shared" si="432"/>
        <v>1-25,9224758099072i</v>
      </c>
      <c r="AN513" s="32">
        <f t="shared" si="453"/>
        <v>25.9417569203634</v>
      </c>
      <c r="AO513" s="32">
        <f t="shared" si="454"/>
        <v>-1.53223888346291</v>
      </c>
      <c r="AP513" s="30" t="str">
        <f t="shared" si="455"/>
        <v>2,88884298287511-105,881922870633i</v>
      </c>
      <c r="AQ513" s="32">
        <f t="shared" si="456"/>
        <v>40.4996680638797</v>
      </c>
      <c r="AR513" s="31">
        <f t="shared" si="457"/>
        <v>-88.4371509887256</v>
      </c>
      <c r="AS513" t="str">
        <f t="shared" si="433"/>
        <v>-0,000201496259351621</v>
      </c>
      <c r="AT513" t="str">
        <f t="shared" si="434"/>
        <v>1,25829636144585i</v>
      </c>
      <c r="AU513">
        <f t="shared" si="458"/>
        <v>1.25829636144585</v>
      </c>
      <c r="AV513">
        <f t="shared" si="459"/>
        <v>1.5707963267949</v>
      </c>
      <c r="AW513" t="str">
        <f t="shared" si="435"/>
        <v>1+64,4224657618459i</v>
      </c>
      <c r="AX513">
        <f t="shared" si="460"/>
        <v>64.4302265620431</v>
      </c>
      <c r="AY513">
        <f t="shared" si="461"/>
        <v>1.55527503801129</v>
      </c>
      <c r="AZ513" t="str">
        <f t="shared" si="436"/>
        <v>1+3079,94213972059i</v>
      </c>
      <c r="BA513">
        <f t="shared" si="462"/>
        <v>3079.9423020613</v>
      </c>
      <c r="BB513">
        <f t="shared" si="463"/>
        <v>1.57047164538223</v>
      </c>
      <c r="BC513" s="30" t="str">
        <f t="shared" si="464"/>
        <v>-0,000116323348842261+0,00765397114072796i</v>
      </c>
      <c r="BD513" s="32">
        <f t="shared" si="465"/>
        <v>-42.3212606075733</v>
      </c>
      <c r="BE513" s="31">
        <f t="shared" si="466"/>
        <v>90.8707014652723</v>
      </c>
      <c r="BF513" s="30" t="str">
        <f t="shared" si="467"/>
        <v>-0,0130175006868776-0,0424615136456599i</v>
      </c>
      <c r="BG513" s="68">
        <f t="shared" si="468"/>
        <v>-27.0499719727454</v>
      </c>
      <c r="BH513" s="31">
        <f t="shared" si="469"/>
        <v>-107.0440601695</v>
      </c>
      <c r="BI513" s="30" t="str">
        <f t="shared" si="476"/>
        <v>0,810081142086561+0,0344276606711906i</v>
      </c>
      <c r="BJ513" s="68">
        <f t="shared" si="470"/>
        <v>-1.82159254369352</v>
      </c>
      <c r="BK513" s="31">
        <f t="shared" si="477"/>
        <v>2.43355047654667</v>
      </c>
      <c r="BL513" s="32">
        <f t="shared" si="471"/>
        <v>-27.0499719727454</v>
      </c>
      <c r="BM513" s="31">
        <f t="shared" si="472"/>
        <v>-107.0440601695</v>
      </c>
      <c r="BO513">
        <f t="shared" si="473"/>
        <v>0</v>
      </c>
      <c r="BP513">
        <f t="shared" si="474"/>
        <v>0</v>
      </c>
    </row>
    <row r="514" spans="14:68">
      <c r="N514" s="7">
        <v>96</v>
      </c>
      <c r="O514" s="18">
        <f t="shared" si="475"/>
        <v>912010.839355911</v>
      </c>
      <c r="P514" s="86" t="str">
        <f t="shared" si="425"/>
        <v>54,5454545454545</v>
      </c>
      <c r="Q514" s="4" t="str">
        <f t="shared" si="426"/>
        <v>1+11669,041960962i</v>
      </c>
      <c r="R514" s="4">
        <f t="shared" si="437"/>
        <v>11669.0420038104</v>
      </c>
      <c r="S514" s="4">
        <f t="shared" si="438"/>
        <v>1.57071062995698</v>
      </c>
      <c r="T514" s="4" t="str">
        <f t="shared" si="427"/>
        <v>1+89,8516230994079i</v>
      </c>
      <c r="U514" s="4">
        <f t="shared" si="439"/>
        <v>89.8571876568483</v>
      </c>
      <c r="V514" s="4">
        <f t="shared" si="440"/>
        <v>1.55966732678037</v>
      </c>
      <c r="W514" t="str">
        <f t="shared" si="428"/>
        <v>1-257,864989762331i</v>
      </c>
      <c r="X514" s="4">
        <f t="shared" si="441"/>
        <v>257.866928754207</v>
      </c>
      <c r="Y514" s="4">
        <f t="shared" si="442"/>
        <v>-1.56691834790366</v>
      </c>
      <c r="Z514" t="str">
        <f t="shared" si="429"/>
        <v>-5,78990833553206+17,8049635788276i</v>
      </c>
      <c r="AA514" s="4">
        <f t="shared" si="443"/>
        <v>18.7227072448736</v>
      </c>
      <c r="AB514" s="4">
        <f t="shared" si="444"/>
        <v>1.88519560665387</v>
      </c>
      <c r="AC514" s="67" t="str">
        <f t="shared" si="445"/>
        <v>-5,48847070751781+1,82835632554005i</v>
      </c>
      <c r="AD514" s="68">
        <f t="shared" si="446"/>
        <v>15.2460637048932</v>
      </c>
      <c r="AE514" s="31">
        <f t="shared" si="447"/>
        <v>161.575705341734</v>
      </c>
      <c r="AF514" s="32" t="str">
        <f t="shared" si="448"/>
        <v>432,040091031901</v>
      </c>
      <c r="AG514" s="32" t="str">
        <f t="shared" si="430"/>
        <v>1+9508,10826448759i</v>
      </c>
      <c r="AH514" s="32">
        <f t="shared" si="449"/>
        <v>9508.10831707429</v>
      </c>
      <c r="AI514" s="32">
        <f t="shared" si="450"/>
        <v>1.57069115340304</v>
      </c>
      <c r="AJ514" s="32" t="str">
        <f t="shared" si="431"/>
        <v>1+89,8516230994079i</v>
      </c>
      <c r="AK514" s="32">
        <f t="shared" si="451"/>
        <v>89.8571876568483</v>
      </c>
      <c r="AL514" s="32">
        <f t="shared" si="452"/>
        <v>1.55966732678037</v>
      </c>
      <c r="AM514" s="32" t="str">
        <f t="shared" si="432"/>
        <v>1-26,5262878388454i</v>
      </c>
      <c r="AN514" s="32">
        <f t="shared" si="453"/>
        <v>26.5451303728062</v>
      </c>
      <c r="AO514" s="32">
        <f t="shared" si="454"/>
        <v>-1.53311571783931</v>
      </c>
      <c r="AP514" s="30" t="str">
        <f t="shared" si="455"/>
        <v>2,8888427591544-108,34610252195i</v>
      </c>
      <c r="AQ514" s="32">
        <f t="shared" si="456"/>
        <v>40.6993522585851</v>
      </c>
      <c r="AR514" s="31">
        <f t="shared" si="457"/>
        <v>-88.4726788769252</v>
      </c>
      <c r="AS514" t="str">
        <f t="shared" si="433"/>
        <v>-0,000201496259351621</v>
      </c>
      <c r="AT514" t="str">
        <f t="shared" si="434"/>
        <v>1,28760584887991i</v>
      </c>
      <c r="AU514">
        <f t="shared" si="458"/>
        <v>1.28760584887991</v>
      </c>
      <c r="AV514">
        <f t="shared" si="459"/>
        <v>1.5707963267949</v>
      </c>
      <c r="AW514" t="str">
        <f t="shared" si="435"/>
        <v>1+65,9230577595437i</v>
      </c>
      <c r="AX514">
        <f t="shared" si="460"/>
        <v>65.9306419229188</v>
      </c>
      <c r="AY514">
        <f t="shared" si="461"/>
        <v>1.55562829085974</v>
      </c>
      <c r="AZ514" t="str">
        <f t="shared" si="436"/>
        <v>1+3151,68320820627i</v>
      </c>
      <c r="BA514">
        <f t="shared" si="462"/>
        <v>3151.68336685165</v>
      </c>
      <c r="BB514">
        <f t="shared" si="463"/>
        <v>1.57047903603298</v>
      </c>
      <c r="BC514" s="30" t="str">
        <f t="shared" si="464"/>
        <v>-0,000111089140141079+0,0074798248855958i</v>
      </c>
      <c r="BD514" s="32">
        <f t="shared" si="465"/>
        <v>-42.521213542221</v>
      </c>
      <c r="BE514" s="31">
        <f t="shared" si="466"/>
        <v>90.8508850210513</v>
      </c>
      <c r="BF514" s="30" t="str">
        <f t="shared" si="467"/>
        <v>-0,0130660756519233-0,0412559103140311i</v>
      </c>
      <c r="BG514" s="68">
        <f t="shared" si="468"/>
        <v>-27.2751498373278</v>
      </c>
      <c r="BH514" s="31">
        <f t="shared" si="469"/>
        <v>-107.573409637215</v>
      </c>
      <c r="BI514" s="30" t="str">
        <f t="shared" si="476"/>
        <v>0,810088954842878+0,0336441133272969i</v>
      </c>
      <c r="BJ514" s="68">
        <f t="shared" si="470"/>
        <v>-1.82186128363593</v>
      </c>
      <c r="BK514" s="31">
        <f t="shared" si="477"/>
        <v>2.37820614412604</v>
      </c>
      <c r="BL514" s="32">
        <f t="shared" si="471"/>
        <v>-27.2751498373278</v>
      </c>
      <c r="BM514" s="31">
        <f t="shared" si="472"/>
        <v>-107.573409637215</v>
      </c>
      <c r="BO514">
        <f t="shared" si="473"/>
        <v>0</v>
      </c>
      <c r="BP514">
        <f t="shared" si="474"/>
        <v>0</v>
      </c>
    </row>
    <row r="515" spans="14:68">
      <c r="N515" s="7">
        <v>97</v>
      </c>
      <c r="O515" s="18">
        <f t="shared" si="475"/>
        <v>933254.300796992</v>
      </c>
      <c r="P515" s="86" t="str">
        <f t="shared" si="425"/>
        <v>54,5454545454545</v>
      </c>
      <c r="Q515" s="4" t="str">
        <f t="shared" si="426"/>
        <v>1+11940,8488652825i</v>
      </c>
      <c r="R515" s="4">
        <f t="shared" si="437"/>
        <v>11940.8489071556</v>
      </c>
      <c r="S515" s="4">
        <f t="shared" si="438"/>
        <v>1.57071258065516</v>
      </c>
      <c r="T515" s="4" t="str">
        <f t="shared" si="427"/>
        <v>1+91,9445362626756i</v>
      </c>
      <c r="U515" s="4">
        <f t="shared" si="439"/>
        <v>91.9499741629027</v>
      </c>
      <c r="V515" s="4">
        <f t="shared" si="440"/>
        <v>1.55992063354075</v>
      </c>
      <c r="W515" t="str">
        <f t="shared" si="428"/>
        <v>1-263,871436978342i</v>
      </c>
      <c r="X515" s="4">
        <f t="shared" si="441"/>
        <v>263.873331833695</v>
      </c>
      <c r="Y515" s="4">
        <f t="shared" si="442"/>
        <v>-1.56700662062527</v>
      </c>
      <c r="Z515" t="str">
        <f t="shared" si="429"/>
        <v>-6,10990685678439+18,2196944580284i</v>
      </c>
      <c r="AA515" s="4">
        <f t="shared" si="443"/>
        <v>19.2168735215303</v>
      </c>
      <c r="AB515" s="4">
        <f t="shared" si="444"/>
        <v>1.8943574426585</v>
      </c>
      <c r="AC515" s="67" t="str">
        <f t="shared" si="445"/>
        <v>-5,45524723523546+1,87199231422096i</v>
      </c>
      <c r="AD515" s="68">
        <f t="shared" si="446"/>
        <v>15.2197548541895</v>
      </c>
      <c r="AE515" s="31">
        <f t="shared" si="447"/>
        <v>161.060114793202</v>
      </c>
      <c r="AF515" s="32" t="str">
        <f t="shared" si="448"/>
        <v>432,040091031901</v>
      </c>
      <c r="AG515" s="32" t="str">
        <f t="shared" si="430"/>
        <v>1+9729,58055689688i</v>
      </c>
      <c r="AH515" s="32">
        <f t="shared" si="449"/>
        <v>9729.58060828656</v>
      </c>
      <c r="AI515" s="32">
        <f t="shared" si="450"/>
        <v>1.5706935474417</v>
      </c>
      <c r="AJ515" s="32" t="str">
        <f t="shared" si="431"/>
        <v>1+91,9445362626756i</v>
      </c>
      <c r="AK515" s="32">
        <f t="shared" si="451"/>
        <v>91.9499741629027</v>
      </c>
      <c r="AL515" s="32">
        <f t="shared" si="452"/>
        <v>1.55992063354075</v>
      </c>
      <c r="AM515" s="32" t="str">
        <f t="shared" si="432"/>
        <v>1-27,1441644567127i</v>
      </c>
      <c r="AN515" s="32">
        <f t="shared" si="453"/>
        <v>27.1625783763815</v>
      </c>
      <c r="AO515" s="32">
        <f t="shared" si="454"/>
        <v>-1.53397264904587</v>
      </c>
      <c r="AP515" s="30" t="str">
        <f t="shared" si="455"/>
        <v>2,88884254550276-110,867728710953i</v>
      </c>
      <c r="AQ515" s="32">
        <f t="shared" si="456"/>
        <v>40.8990506485966</v>
      </c>
      <c r="AR515" s="31">
        <f t="shared" si="457"/>
        <v>-88.5074011784135</v>
      </c>
      <c r="AS515" t="str">
        <f t="shared" si="433"/>
        <v>-0,000201496259351621</v>
      </c>
      <c r="AT515" t="str">
        <f t="shared" si="434"/>
        <v>1,31759804197852i</v>
      </c>
      <c r="AU515">
        <f t="shared" si="458"/>
        <v>1.31759804197852</v>
      </c>
      <c r="AV515">
        <f t="shared" si="459"/>
        <v>1.5707963267949</v>
      </c>
      <c r="AW515" t="str">
        <f t="shared" si="435"/>
        <v>1+67,4586030350605i</v>
      </c>
      <c r="AX515">
        <f t="shared" si="460"/>
        <v>67.4660145809864</v>
      </c>
      <c r="AY515">
        <f t="shared" si="461"/>
        <v>1.55597350634991</v>
      </c>
      <c r="AZ515" t="str">
        <f t="shared" si="436"/>
        <v>1+3225,0953408464i</v>
      </c>
      <c r="BA515">
        <f t="shared" si="462"/>
        <v>3225.09549588057</v>
      </c>
      <c r="BB515">
        <f t="shared" si="463"/>
        <v>1.57048625845202</v>
      </c>
      <c r="BC515" s="30" t="str">
        <f t="shared" si="464"/>
        <v>-0,000106090403685532+0,00730963738523581i</v>
      </c>
      <c r="BD515" s="32">
        <f t="shared" si="465"/>
        <v>-42.721168594682</v>
      </c>
      <c r="BE515" s="31">
        <f t="shared" si="466"/>
        <v>90.8315194445708</v>
      </c>
      <c r="BF515" s="30" t="str">
        <f t="shared" si="467"/>
        <v>-0,0131048356235131-0,0400744795566933i</v>
      </c>
      <c r="BG515" s="68">
        <f t="shared" si="468"/>
        <v>-27.5014137404925</v>
      </c>
      <c r="BH515" s="31">
        <f t="shared" si="469"/>
        <v>-108.108365762227</v>
      </c>
      <c r="BI515" s="30" t="str">
        <f t="shared" si="476"/>
        <v>0,810096416129927+0,0328783935653098i</v>
      </c>
      <c r="BJ515" s="68">
        <f t="shared" si="470"/>
        <v>-1.82211794608539</v>
      </c>
      <c r="BK515" s="31">
        <f t="shared" si="477"/>
        <v>2.32411826615727</v>
      </c>
      <c r="BL515" s="32">
        <f t="shared" si="471"/>
        <v>-27.5014137404925</v>
      </c>
      <c r="BM515" s="31">
        <f t="shared" si="472"/>
        <v>-108.108365762227</v>
      </c>
      <c r="BO515">
        <f t="shared" si="473"/>
        <v>0</v>
      </c>
      <c r="BP515">
        <f t="shared" si="474"/>
        <v>0</v>
      </c>
    </row>
    <row r="516" spans="14:68">
      <c r="N516" s="7">
        <v>98</v>
      </c>
      <c r="O516" s="18">
        <f t="shared" si="475"/>
        <v>954992.586021437</v>
      </c>
      <c r="P516" s="86" t="str">
        <f t="shared" si="425"/>
        <v>54,5454545454545</v>
      </c>
      <c r="Q516" s="4" t="str">
        <f t="shared" si="426"/>
        <v>1+12218,9869657272i</v>
      </c>
      <c r="R516" s="4">
        <f t="shared" si="437"/>
        <v>12218.9870066471</v>
      </c>
      <c r="S516" s="4">
        <f t="shared" si="438"/>
        <v>1.57071448695002</v>
      </c>
      <c r="T516" s="4" t="str">
        <f t="shared" si="427"/>
        <v>1+94,0861996360996i</v>
      </c>
      <c r="U516" s="4">
        <f t="shared" si="439"/>
        <v>94.0915137616777</v>
      </c>
      <c r="V516" s="4">
        <f t="shared" si="440"/>
        <v>1.56016817568398</v>
      </c>
      <c r="W516" t="str">
        <f t="shared" si="428"/>
        <v>1-270,01779232299i</v>
      </c>
      <c r="X516" s="4">
        <f t="shared" si="441"/>
        <v>270.019644046468</v>
      </c>
      <c r="Y516" s="4">
        <f t="shared" si="442"/>
        <v>-1.5670928840715</v>
      </c>
      <c r="Z516" t="str">
        <f t="shared" si="429"/>
        <v>-6,44498644372176+18,6440856603969i</v>
      </c>
      <c r="AA516" s="4">
        <f t="shared" si="443"/>
        <v>19.7266261781374</v>
      </c>
      <c r="AB516" s="4">
        <f t="shared" si="444"/>
        <v>1.90362216096769</v>
      </c>
      <c r="AC516" s="67" t="str">
        <f t="shared" si="445"/>
        <v>-5,42083168654915+1,91552768563461i</v>
      </c>
      <c r="AD516" s="68">
        <f t="shared" si="446"/>
        <v>15.1923272706331</v>
      </c>
      <c r="AE516" s="31">
        <f t="shared" si="447"/>
        <v>160.538416901721</v>
      </c>
      <c r="AF516" s="32" t="str">
        <f t="shared" si="448"/>
        <v>432,040091031901</v>
      </c>
      <c r="AG516" s="32" t="str">
        <f t="shared" si="430"/>
        <v>1+9956,21160170365i</v>
      </c>
      <c r="AH516" s="32">
        <f t="shared" si="449"/>
        <v>9956.21165192355</v>
      </c>
      <c r="AI516" s="32">
        <f t="shared" si="450"/>
        <v>1.57069588698539</v>
      </c>
      <c r="AJ516" s="32" t="str">
        <f t="shared" si="431"/>
        <v>1+94,0861996360996i</v>
      </c>
      <c r="AK516" s="32">
        <f t="shared" si="451"/>
        <v>94.0915137616777</v>
      </c>
      <c r="AL516" s="32">
        <f t="shared" si="452"/>
        <v>1.56016817568398</v>
      </c>
      <c r="AM516" s="32" t="str">
        <f t="shared" si="432"/>
        <v>1-27,7764332698705i</v>
      </c>
      <c r="AN516" s="32">
        <f t="shared" si="453"/>
        <v>27.7944283120839</v>
      </c>
      <c r="AO516" s="32">
        <f t="shared" si="454"/>
        <v>-1.53481012640181</v>
      </c>
      <c r="AP516" s="30" t="str">
        <f t="shared" si="455"/>
        <v>2,88884234146704-113,448138437224i</v>
      </c>
      <c r="AQ516" s="32">
        <f t="shared" si="456"/>
        <v>41.0987625966259</v>
      </c>
      <c r="AR516" s="31">
        <f t="shared" si="457"/>
        <v>-88.5413360222671</v>
      </c>
      <c r="AS516" t="str">
        <f t="shared" si="433"/>
        <v>-0,000201496259351621</v>
      </c>
      <c r="AT516" t="str">
        <f t="shared" si="434"/>
        <v>1,34828884299946i</v>
      </c>
      <c r="AU516">
        <f t="shared" si="458"/>
        <v>1.34828884299946</v>
      </c>
      <c r="AV516">
        <f t="shared" si="459"/>
        <v>1.5707963267949</v>
      </c>
      <c r="AW516" t="str">
        <f t="shared" si="435"/>
        <v>1+69,0299157548266i</v>
      </c>
      <c r="AX516">
        <f t="shared" si="460"/>
        <v>69.0371586112758</v>
      </c>
      <c r="AY516">
        <f t="shared" si="461"/>
        <v>1.5563108671903</v>
      </c>
      <c r="AZ516" t="str">
        <f t="shared" si="436"/>
        <v>1+3300,21746172543i</v>
      </c>
      <c r="BA516">
        <f t="shared" si="462"/>
        <v>3300.21761323059</v>
      </c>
      <c r="BB516">
        <f t="shared" si="463"/>
        <v>1.57049331646876</v>
      </c>
      <c r="BC516" s="30" t="str">
        <f t="shared" si="464"/>
        <v>-0,000101316550798425+0,00714331888083278i</v>
      </c>
      <c r="BD516" s="32">
        <f t="shared" si="465"/>
        <v>-42.9211256696808</v>
      </c>
      <c r="BE516" s="31">
        <f t="shared" si="466"/>
        <v>90.8125944868139</v>
      </c>
      <c r="BF516" s="30" t="str">
        <f t="shared" si="467"/>
        <v>-0,0131340051146117-0,0389168039944105i</v>
      </c>
      <c r="BG516" s="68">
        <f t="shared" si="468"/>
        <v>-27.7287983990477</v>
      </c>
      <c r="BH516" s="31">
        <f t="shared" si="469"/>
        <v>-108.648988611465</v>
      </c>
      <c r="BI516" s="30" t="str">
        <f t="shared" si="476"/>
        <v>0,810103541752115+0,0321300961225124i</v>
      </c>
      <c r="BJ516" s="68">
        <f t="shared" si="470"/>
        <v>-1.82236307305486</v>
      </c>
      <c r="BK516" s="31">
        <f t="shared" si="477"/>
        <v>2.27125846454678</v>
      </c>
      <c r="BL516" s="32">
        <f t="shared" si="471"/>
        <v>-27.7287983990477</v>
      </c>
      <c r="BM516" s="31">
        <f t="shared" si="472"/>
        <v>-108.648988611465</v>
      </c>
      <c r="BO516">
        <f t="shared" si="473"/>
        <v>0</v>
      </c>
      <c r="BP516">
        <f t="shared" si="474"/>
        <v>0</v>
      </c>
    </row>
    <row r="517" spans="14:68">
      <c r="N517" s="7">
        <v>99</v>
      </c>
      <c r="O517" s="18">
        <f t="shared" si="475"/>
        <v>977237.220955812</v>
      </c>
      <c r="P517" s="86" t="str">
        <f t="shared" si="425"/>
        <v>54,5454545454545</v>
      </c>
      <c r="Q517" s="4" t="str">
        <f t="shared" si="426"/>
        <v>1+12503,6037347985i</v>
      </c>
      <c r="R517" s="4">
        <f t="shared" si="437"/>
        <v>12503.603774787</v>
      </c>
      <c r="S517" s="4">
        <f t="shared" si="438"/>
        <v>1.57071634985232</v>
      </c>
      <c r="T517" s="4" t="str">
        <f t="shared" si="427"/>
        <v>1+96,2777487579488i</v>
      </c>
      <c r="U517" s="4">
        <f t="shared" si="439"/>
        <v>96.2829419258609</v>
      </c>
      <c r="V517" s="4">
        <f t="shared" si="440"/>
        <v>1.56041008433876</v>
      </c>
      <c r="W517" t="str">
        <f t="shared" si="428"/>
        <v>1-276,307314675236i</v>
      </c>
      <c r="X517" s="4">
        <f t="shared" si="441"/>
        <v>276.309124248621</v>
      </c>
      <c r="Y517" s="4">
        <f t="shared" si="442"/>
        <v>-1.56717718397522</v>
      </c>
      <c r="Z517" t="str">
        <f t="shared" si="429"/>
        <v>-6,79585784507301+19,0783622037663i</v>
      </c>
      <c r="AA517" s="4">
        <f t="shared" si="443"/>
        <v>20.2525946048534</v>
      </c>
      <c r="AB517" s="4">
        <f t="shared" si="444"/>
        <v>1.91299057361088</v>
      </c>
      <c r="AC517" s="67" t="str">
        <f t="shared" si="445"/>
        <v>-5,38520499351786+1,95892932225336i</v>
      </c>
      <c r="AD517" s="68">
        <f t="shared" si="446"/>
        <v>15.1637454162001</v>
      </c>
      <c r="AE517" s="31">
        <f t="shared" si="447"/>
        <v>160.010569976341</v>
      </c>
      <c r="AF517" s="32" t="str">
        <f t="shared" si="448"/>
        <v>432,040091031901</v>
      </c>
      <c r="AG517" s="32" t="str">
        <f t="shared" si="430"/>
        <v>1+10188,1215616877i</v>
      </c>
      <c r="AH517" s="32">
        <f t="shared" si="449"/>
        <v>10188.1216107645</v>
      </c>
      <c r="AI517" s="32">
        <f t="shared" si="450"/>
        <v>1.57069817327457</v>
      </c>
      <c r="AJ517" s="32" t="str">
        <f t="shared" si="431"/>
        <v>1+96,2777487579488i</v>
      </c>
      <c r="AK517" s="32">
        <f t="shared" si="451"/>
        <v>96.2829419258609</v>
      </c>
      <c r="AL517" s="32">
        <f t="shared" si="452"/>
        <v>1.56041008433876</v>
      </c>
      <c r="AM517" s="32" t="str">
        <f t="shared" si="432"/>
        <v>1-28,4234295156125i</v>
      </c>
      <c r="AN517" s="32">
        <f t="shared" si="453"/>
        <v>28.4410151968771</v>
      </c>
      <c r="AO517" s="32">
        <f t="shared" si="454"/>
        <v>-1.53562858924698</v>
      </c>
      <c r="AP517" s="30" t="str">
        <f t="shared" si="455"/>
        <v>2,88884214661444-116,088699868156i</v>
      </c>
      <c r="AQ517" s="32">
        <f t="shared" si="456"/>
        <v>41.2984874939265</v>
      </c>
      <c r="AR517" s="31">
        <f t="shared" si="457"/>
        <v>-88.5745011387574</v>
      </c>
      <c r="AS517" t="str">
        <f t="shared" si="433"/>
        <v>-0,000201496259351621</v>
      </c>
      <c r="AT517" t="str">
        <f t="shared" si="434"/>
        <v>1,37969452461168i</v>
      </c>
      <c r="AU517">
        <f t="shared" si="458"/>
        <v>1.37969452461168</v>
      </c>
      <c r="AV517">
        <f t="shared" si="459"/>
        <v>1.5707963267949</v>
      </c>
      <c r="AW517" t="str">
        <f t="shared" si="435"/>
        <v>1+70,6378290496449i</v>
      </c>
      <c r="AX517">
        <f t="shared" si="460"/>
        <v>70.6449070552638</v>
      </c>
      <c r="AY517">
        <f t="shared" si="461"/>
        <v>1.55664055194677</v>
      </c>
      <c r="AZ517" t="str">
        <f t="shared" si="436"/>
        <v>1+3377,08940158621i</v>
      </c>
      <c r="BA517">
        <f t="shared" si="462"/>
        <v>3377.0895496427</v>
      </c>
      <c r="BB517">
        <f t="shared" si="463"/>
        <v>1.57050021382546</v>
      </c>
      <c r="BC517" s="30" t="str">
        <f t="shared" si="464"/>
        <v>-0,0000967574685518982+0,00698078163315909i</v>
      </c>
      <c r="BD517" s="32">
        <f t="shared" si="465"/>
        <v>-43.1210846762266</v>
      </c>
      <c r="BE517" s="31">
        <f t="shared" si="466"/>
        <v>90.794100131127</v>
      </c>
      <c r="BF517" s="30" t="str">
        <f t="shared" si="467"/>
        <v>-0,0131537990306372-0,0377824811518394i</v>
      </c>
      <c r="BG517" s="68">
        <f t="shared" si="468"/>
        <v>-27.9573392600265</v>
      </c>
      <c r="BH517" s="31">
        <f t="shared" si="469"/>
        <v>-109.195329892532</v>
      </c>
      <c r="BI517" s="30" t="str">
        <f t="shared" si="476"/>
        <v>0,810110346803789+0,0313988249249058i</v>
      </c>
      <c r="BJ517" s="68">
        <f t="shared" si="470"/>
        <v>-1.82259718230007</v>
      </c>
      <c r="BK517" s="31">
        <f t="shared" si="477"/>
        <v>2.21959899236951</v>
      </c>
      <c r="BL517" s="32">
        <f t="shared" si="471"/>
        <v>-27.9573392600265</v>
      </c>
      <c r="BM517" s="31">
        <f t="shared" si="472"/>
        <v>-109.195329892532</v>
      </c>
      <c r="BO517">
        <f t="shared" si="473"/>
        <v>0</v>
      </c>
      <c r="BP517">
        <f t="shared" si="474"/>
        <v>0</v>
      </c>
    </row>
    <row r="518" spans="14:68">
      <c r="N518" s="7">
        <v>100</v>
      </c>
      <c r="O518" s="18">
        <f t="shared" si="475"/>
        <v>1000000</v>
      </c>
      <c r="P518" s="86" t="str">
        <f t="shared" si="425"/>
        <v>54,5454545454545</v>
      </c>
      <c r="Q518" s="4" t="str">
        <f t="shared" si="426"/>
        <v>1+12794,8500800748i</v>
      </c>
      <c r="R518" s="4">
        <f t="shared" si="437"/>
        <v>12794.850119153</v>
      </c>
      <c r="S518" s="4">
        <f t="shared" si="438"/>
        <v>1.57071817034979</v>
      </c>
      <c r="T518" s="4" t="str">
        <f t="shared" si="427"/>
        <v>1+98,520345616576i</v>
      </c>
      <c r="U518" s="4">
        <f t="shared" si="439"/>
        <v>98.5254205797143</v>
      </c>
      <c r="V518" s="4">
        <f t="shared" si="440"/>
        <v>1.56064648765496</v>
      </c>
      <c r="W518" t="str">
        <f t="shared" si="428"/>
        <v>1-282,743338823082i</v>
      </c>
      <c r="X518" s="4">
        <f t="shared" si="441"/>
        <v>282.745107205809</v>
      </c>
      <c r="Y518" s="4">
        <f t="shared" si="442"/>
        <v>-1.56725956502856</v>
      </c>
      <c r="Z518" t="str">
        <f t="shared" si="429"/>
        <v>-7,16326530612251+19,522754347308i</v>
      </c>
      <c r="AA518" s="4">
        <f t="shared" si="443"/>
        <v>20.7954395758116</v>
      </c>
      <c r="AB518" s="4">
        <f t="shared" si="444"/>
        <v>1.9224633422097</v>
      </c>
      <c r="AC518" s="67" t="str">
        <f t="shared" si="445"/>
        <v>-5,34834918988499+2,00216214661589i</v>
      </c>
      <c r="AD518" s="68">
        <f t="shared" si="446"/>
        <v>15.1339730642178</v>
      </c>
      <c r="AE518" s="31">
        <f t="shared" si="447"/>
        <v>159.476540834115</v>
      </c>
      <c r="AF518" s="32" t="str">
        <f t="shared" si="448"/>
        <v>432,040091031901</v>
      </c>
      <c r="AG518" s="32" t="str">
        <f t="shared" si="430"/>
        <v>1+10425,4333985795i</v>
      </c>
      <c r="AH518" s="32">
        <f t="shared" si="449"/>
        <v>10425.4334465391</v>
      </c>
      <c r="AI518" s="32">
        <f t="shared" si="450"/>
        <v>1.57070040752145</v>
      </c>
      <c r="AJ518" s="32" t="str">
        <f t="shared" si="431"/>
        <v>1+98,520345616576i</v>
      </c>
      <c r="AK518" s="32">
        <f t="shared" si="451"/>
        <v>98.5254205797143</v>
      </c>
      <c r="AL518" s="32">
        <f t="shared" si="452"/>
        <v>1.56064648765496</v>
      </c>
      <c r="AM518" s="32" t="str">
        <f t="shared" si="432"/>
        <v>1-29,0854962399121i</v>
      </c>
      <c r="AN518" s="32">
        <f t="shared" si="453"/>
        <v>29.1026818613327</v>
      </c>
      <c r="AO518" s="32">
        <f t="shared" si="454"/>
        <v>-1.53642846715253</v>
      </c>
      <c r="AP518" s="30" t="str">
        <f t="shared" si="455"/>
        <v>2,88884196053165-118,790813064371i</v>
      </c>
      <c r="AQ518" s="32">
        <f t="shared" si="456"/>
        <v>41.4982247590211</v>
      </c>
      <c r="AR518" s="31">
        <f t="shared" si="457"/>
        <v>-88.6069138675073</v>
      </c>
      <c r="AS518" t="str">
        <f t="shared" si="433"/>
        <v>-0,000201496259351621</v>
      </c>
      <c r="AT518" t="str">
        <f t="shared" si="434"/>
        <v>1,41183173852325i</v>
      </c>
      <c r="AU518">
        <f t="shared" si="458"/>
        <v>1.41183173852325</v>
      </c>
      <c r="AV518">
        <f t="shared" si="459"/>
        <v>1.5707963267949</v>
      </c>
      <c r="AW518" t="str">
        <f t="shared" si="435"/>
        <v>1+72,2831954564274i</v>
      </c>
      <c r="AX518">
        <f t="shared" si="460"/>
        <v>72.2901123625637</v>
      </c>
      <c r="AY518">
        <f t="shared" si="461"/>
        <v>1.55696273513569</v>
      </c>
      <c r="AZ518" t="str">
        <f t="shared" si="436"/>
        <v>1+3455,75191894877i</v>
      </c>
      <c r="BA518">
        <f t="shared" si="462"/>
        <v>3455.75206363508</v>
      </c>
      <c r="BB518">
        <f t="shared" si="463"/>
        <v>1.57050695417917</v>
      </c>
      <c r="BC518" s="30" t="str">
        <f t="shared" si="464"/>
        <v>-0,000092403498427256+0,00682193987817499i</v>
      </c>
      <c r="BD518" s="32">
        <f t="shared" si="465"/>
        <v>-43.3210455274201</v>
      </c>
      <c r="BE518" s="31">
        <f t="shared" si="466"/>
        <v>90.7760265879921</v>
      </c>
      <c r="BF518" s="30" t="str">
        <f t="shared" si="467"/>
        <v>-0,0131644236146154-0,0366711234076472i</v>
      </c>
      <c r="BG518" s="68">
        <f t="shared" si="468"/>
        <v>-28.1870724632023</v>
      </c>
      <c r="BH518" s="31">
        <f t="shared" si="469"/>
        <v>-109.747432577892</v>
      </c>
      <c r="BI518" s="30" t="str">
        <f t="shared" si="476"/>
        <v>0,810116845701107+0,0306841928804622i</v>
      </c>
      <c r="BJ518" s="68">
        <f t="shared" si="470"/>
        <v>-1.82282076839894</v>
      </c>
      <c r="BK518" s="31">
        <f t="shared" si="477"/>
        <v>2.16911272048477</v>
      </c>
      <c r="BL518" s="32">
        <f t="shared" si="471"/>
        <v>-28.1870724632023</v>
      </c>
      <c r="BM518" s="31">
        <f t="shared" si="472"/>
        <v>-109.747432577892</v>
      </c>
      <c r="BO518">
        <f t="shared" si="473"/>
        <v>0</v>
      </c>
      <c r="BP518">
        <f t="shared" si="474"/>
        <v>0</v>
      </c>
    </row>
    <row r="519" spans="14:68">
      <c r="N519" s="7">
        <v>1</v>
      </c>
      <c r="O519" s="18">
        <f>10^(6+(N519/100))</f>
        <v>1023292.99228076</v>
      </c>
      <c r="P519" s="86" t="str">
        <f t="shared" si="425"/>
        <v>54,5454545454545</v>
      </c>
      <c r="Q519" s="4" t="str">
        <f t="shared" si="426"/>
        <v>1+13092,8804242234i</v>
      </c>
      <c r="R519" s="4">
        <f t="shared" si="437"/>
        <v>13092.8804624121</v>
      </c>
      <c r="S519" s="4">
        <f t="shared" si="438"/>
        <v>1.57071994940767</v>
      </c>
      <c r="T519" s="4" t="str">
        <f t="shared" si="427"/>
        <v>1+100,815179266521i</v>
      </c>
      <c r="U519" s="4">
        <f t="shared" si="439"/>
        <v>100.820138715143</v>
      </c>
      <c r="V519" s="4">
        <f t="shared" si="440"/>
        <v>1.56087751087097</v>
      </c>
      <c r="W519" t="str">
        <f t="shared" si="428"/>
        <v>1-289,329277231724i</v>
      </c>
      <c r="X519" s="4">
        <f t="shared" si="441"/>
        <v>289.331005361388</v>
      </c>
      <c r="Y519" s="4">
        <f t="shared" si="442"/>
        <v>-1.56734007090658</v>
      </c>
      <c r="Z519" t="str">
        <f t="shared" si="429"/>
        <v>-7,54798814735442+19,977497713619i</v>
      </c>
      <c r="AA519" s="4">
        <f t="shared" si="443"/>
        <v>21.3558549341921</v>
      </c>
      <c r="AB519" s="4">
        <f t="shared" si="444"/>
        <v>1.93204097138498</v>
      </c>
      <c r="AC519" s="67" t="str">
        <f t="shared" si="445"/>
        <v>-5,31024755709282+2,04518913110623i</v>
      </c>
      <c r="AD519" s="68">
        <f t="shared" si="446"/>
        <v>15.1029733409795</v>
      </c>
      <c r="AE519" s="31">
        <f t="shared" si="447"/>
        <v>158.936305180333</v>
      </c>
      <c r="AF519" s="32" t="str">
        <f t="shared" si="448"/>
        <v>432,040091031901</v>
      </c>
      <c r="AG519" s="32" t="str">
        <f t="shared" si="430"/>
        <v>1+10668,2729382561i</v>
      </c>
      <c r="AH519" s="32">
        <f t="shared" si="449"/>
        <v>10668.272985124</v>
      </c>
      <c r="AI519" s="32">
        <f t="shared" si="450"/>
        <v>1.57070259091067</v>
      </c>
      <c r="AJ519" s="32" t="str">
        <f t="shared" si="431"/>
        <v>1+100,815179266521i</v>
      </c>
      <c r="AK519" s="32">
        <f t="shared" si="451"/>
        <v>100.820138715143</v>
      </c>
      <c r="AL519" s="32">
        <f t="shared" si="452"/>
        <v>1.56087751087097</v>
      </c>
      <c r="AM519" s="32" t="str">
        <f t="shared" si="432"/>
        <v>1-29,7629844793105i</v>
      </c>
      <c r="AN519" s="32">
        <f t="shared" si="453"/>
        <v>29.7797791314119</v>
      </c>
      <c r="AO519" s="32">
        <f t="shared" si="454"/>
        <v>-1.53721018012786</v>
      </c>
      <c r="AP519" s="30" t="str">
        <f t="shared" si="455"/>
        <v>2,88884178282401-121,555910722057i</v>
      </c>
      <c r="AQ519" s="32">
        <f t="shared" si="456"/>
        <v>41.6979738364865</v>
      </c>
      <c r="AR519" s="31">
        <f t="shared" si="457"/>
        <v>-88.6385911655238</v>
      </c>
      <c r="AS519" t="str">
        <f t="shared" si="433"/>
        <v>-0,000201496259351621</v>
      </c>
      <c r="AT519" t="str">
        <f t="shared" si="434"/>
        <v>1,44471752431041i</v>
      </c>
      <c r="AU519">
        <f t="shared" si="458"/>
        <v>1.44471752431041</v>
      </c>
      <c r="AV519">
        <f t="shared" si="459"/>
        <v>1.5707963267949</v>
      </c>
      <c r="AW519" t="str">
        <f t="shared" si="435"/>
        <v>1+73,9668873702226i</v>
      </c>
      <c r="AX519">
        <f t="shared" si="460"/>
        <v>73.9736468429075</v>
      </c>
      <c r="AY519">
        <f t="shared" si="461"/>
        <v>1.55727758731516</v>
      </c>
      <c r="AZ519" t="str">
        <f t="shared" si="436"/>
        <v>1+3536,24672172106i</v>
      </c>
      <c r="BA519">
        <f t="shared" si="462"/>
        <v>3536.24686311391</v>
      </c>
      <c r="BB519">
        <f t="shared" si="463"/>
        <v>1.57051354110373</v>
      </c>
      <c r="BC519" s="30" t="str">
        <f t="shared" si="464"/>
        <v>-0,0000882454159289112+0,00666670978353393i</v>
      </c>
      <c r="BD519" s="32">
        <f t="shared" si="465"/>
        <v>-43.5210081402705</v>
      </c>
      <c r="BE519" s="31">
        <f t="shared" si="466"/>
        <v>90.7583642899154</v>
      </c>
      <c r="BF519" s="30" t="str">
        <f t="shared" si="467"/>
        <v>-0,013166077385162-0,0355823579073856i</v>
      </c>
      <c r="BG519" s="68">
        <f t="shared" si="468"/>
        <v>-28.418034799291</v>
      </c>
      <c r="BH519" s="31">
        <f t="shared" si="469"/>
        <v>-110.305330529752</v>
      </c>
      <c r="BI519" s="30" t="str">
        <f t="shared" si="476"/>
        <v>0,810123052212436+0,0299858216769199i</v>
      </c>
      <c r="BJ519" s="68">
        <f t="shared" si="470"/>
        <v>-1.82303430378405</v>
      </c>
      <c r="BK519" s="31">
        <f t="shared" si="477"/>
        <v>2.11977312439164</v>
      </c>
      <c r="BL519" s="32">
        <f t="shared" si="471"/>
        <v>-28.418034799291</v>
      </c>
      <c r="BM519" s="31">
        <f t="shared" si="472"/>
        <v>-110.305330529752</v>
      </c>
      <c r="BO519">
        <f t="shared" si="473"/>
        <v>0</v>
      </c>
      <c r="BP519">
        <f t="shared" si="474"/>
        <v>0</v>
      </c>
    </row>
    <row r="520" spans="14:68">
      <c r="N520" s="7">
        <v>2</v>
      </c>
      <c r="O520" s="18">
        <f t="shared" ref="O520:O560" si="478">10^(6+(N520/100))</f>
        <v>1047128.5480509</v>
      </c>
      <c r="P520" s="86" t="str">
        <f t="shared" si="425"/>
        <v>54,5454545454545</v>
      </c>
      <c r="Q520" s="4" t="str">
        <f t="shared" si="426"/>
        <v>1+13397,8527868777i</v>
      </c>
      <c r="R520" s="4">
        <f t="shared" si="437"/>
        <v>13397.8528241971</v>
      </c>
      <c r="S520" s="4">
        <f t="shared" si="438"/>
        <v>1.57072168796925</v>
      </c>
      <c r="T520" s="4" t="str">
        <f t="shared" si="427"/>
        <v>1+103,163466458958i</v>
      </c>
      <c r="U520" s="4">
        <f t="shared" si="439"/>
        <v>103.168313022112</v>
      </c>
      <c r="V520" s="4">
        <f t="shared" si="440"/>
        <v>1.56110327637968</v>
      </c>
      <c r="W520" t="str">
        <f t="shared" si="428"/>
        <v>1-296,068621852877i</v>
      </c>
      <c r="X520" s="4">
        <f t="shared" si="441"/>
        <v>296.070310645735</v>
      </c>
      <c r="Y520" s="4">
        <f t="shared" si="442"/>
        <v>-1.56741874429037</v>
      </c>
      <c r="Z520" t="str">
        <f t="shared" si="429"/>
        <v>-7,95084241749546+20,442833413651i</v>
      </c>
      <c r="AA520" s="4">
        <f t="shared" si="443"/>
        <v>21.934569362678</v>
      </c>
      <c r="AB520" s="4">
        <f t="shared" si="444"/>
        <v>1.94172380221283</v>
      </c>
      <c r="AC520" s="67" t="str">
        <f t="shared" si="445"/>
        <v>-5,27088477460601+2,08797131809668i</v>
      </c>
      <c r="AD520" s="68">
        <f t="shared" si="446"/>
        <v>15.070708771834</v>
      </c>
      <c r="AE520" s="31">
        <f t="shared" si="447"/>
        <v>158.389847985874</v>
      </c>
      <c r="AF520" s="32" t="str">
        <f t="shared" si="448"/>
        <v>432,040091031901</v>
      </c>
      <c r="AG520" s="32" t="str">
        <f t="shared" si="430"/>
        <v>1+10916,7689374559i</v>
      </c>
      <c r="AH520" s="32">
        <f t="shared" si="449"/>
        <v>10916.768983257</v>
      </c>
      <c r="AI520" s="32">
        <f t="shared" si="450"/>
        <v>1.57070472459988</v>
      </c>
      <c r="AJ520" s="32" t="str">
        <f t="shared" si="431"/>
        <v>1+103,163466458958i</v>
      </c>
      <c r="AK520" s="32">
        <f t="shared" si="451"/>
        <v>103.168313022112</v>
      </c>
      <c r="AL520" s="32">
        <f t="shared" si="452"/>
        <v>1.56110327637968</v>
      </c>
      <c r="AM520" s="32" t="str">
        <f t="shared" si="432"/>
        <v>1-30,4562534470391i</v>
      </c>
      <c r="AN520" s="32">
        <f t="shared" si="453"/>
        <v>30.4726660144839</v>
      </c>
      <c r="AO520" s="32">
        <f t="shared" si="454"/>
        <v>-1.53797413882385</v>
      </c>
      <c r="AP520" s="30" t="str">
        <f t="shared" si="455"/>
        <v>2,88884161311446-124,385458932585i</v>
      </c>
      <c r="AQ520" s="32">
        <f t="shared" si="456"/>
        <v>41.8977341957895</v>
      </c>
      <c r="AR520" s="31">
        <f t="shared" si="457"/>
        <v>-88.6695496151045</v>
      </c>
      <c r="AS520" t="str">
        <f t="shared" si="433"/>
        <v>-0,000201496259351621</v>
      </c>
      <c r="AT520" t="str">
        <f t="shared" si="434"/>
        <v>1,47836931845203i</v>
      </c>
      <c r="AU520">
        <f t="shared" si="458"/>
        <v>1.47836931845203</v>
      </c>
      <c r="AV520">
        <f t="shared" si="459"/>
        <v>1.5707963267949</v>
      </c>
      <c r="AW520" t="str">
        <f t="shared" si="435"/>
        <v>1+75,6897975067682i</v>
      </c>
      <c r="AX520">
        <f t="shared" si="460"/>
        <v>75.6964031286532</v>
      </c>
      <c r="AY520">
        <f t="shared" si="461"/>
        <v>1.55758527517412</v>
      </c>
      <c r="AZ520" t="str">
        <f t="shared" si="436"/>
        <v>1+3618,61648931294i</v>
      </c>
      <c r="BA520">
        <f t="shared" si="462"/>
        <v>3618.61662748729</v>
      </c>
      <c r="BB520">
        <f t="shared" si="463"/>
        <v>1.5705199780916</v>
      </c>
      <c r="BC520" s="30" t="str">
        <f t="shared" si="464"/>
        <v>-0,0000842744111100953+0,00651500940598159i</v>
      </c>
      <c r="BD520" s="32">
        <f t="shared" si="465"/>
        <v>-43.720972435519</v>
      </c>
      <c r="BE520" s="31">
        <f t="shared" si="466"/>
        <v>90.7411038864273</v>
      </c>
      <c r="BF520" s="30" t="str">
        <f t="shared" si="467"/>
        <v>-0,0131589520664106-0,0345158264376507i</v>
      </c>
      <c r="BG520" s="68">
        <f t="shared" si="468"/>
        <v>-28.6502636636851</v>
      </c>
      <c r="BH520" s="31">
        <f t="shared" si="469"/>
        <v>-110.869048127699</v>
      </c>
      <c r="BI520" s="30" t="str">
        <f t="shared" si="476"/>
        <v>0,810128979487392+0,0293033415840343i</v>
      </c>
      <c r="BJ520" s="68">
        <f t="shared" si="470"/>
        <v>-1.82323823972957</v>
      </c>
      <c r="BK520" s="31">
        <f t="shared" si="477"/>
        <v>2.07155427132281</v>
      </c>
      <c r="BL520" s="32">
        <f t="shared" si="471"/>
        <v>-28.6502636636851</v>
      </c>
      <c r="BM520" s="31">
        <f t="shared" si="472"/>
        <v>-110.869048127699</v>
      </c>
      <c r="BO520">
        <f t="shared" si="473"/>
        <v>0</v>
      </c>
      <c r="BP520">
        <f t="shared" si="474"/>
        <v>0</v>
      </c>
    </row>
    <row r="521" spans="14:68">
      <c r="N521" s="7">
        <v>3</v>
      </c>
      <c r="O521" s="18">
        <f t="shared" si="478"/>
        <v>1071519.30523761</v>
      </c>
      <c r="P521" s="86" t="str">
        <f t="shared" si="425"/>
        <v>54,5454545454545</v>
      </c>
      <c r="Q521" s="4" t="str">
        <f t="shared" si="426"/>
        <v>1+13709,9288684211i</v>
      </c>
      <c r="R521" s="4">
        <f t="shared" si="437"/>
        <v>13709.928904891</v>
      </c>
      <c r="S521" s="4">
        <f t="shared" si="438"/>
        <v>1.57072338695634</v>
      </c>
      <c r="T521" s="4" t="str">
        <f t="shared" si="427"/>
        <v>1+105,566452286843i</v>
      </c>
      <c r="U521" s="4">
        <f t="shared" si="439"/>
        <v>105.571188533758</v>
      </c>
      <c r="V521" s="4">
        <f t="shared" si="440"/>
        <v>1.56132390379283</v>
      </c>
      <c r="W521" t="str">
        <f t="shared" si="428"/>
        <v>1-302,964945976271i</v>
      </c>
      <c r="X521" s="4">
        <f t="shared" si="441"/>
        <v>302.966596327722</v>
      </c>
      <c r="Y521" s="4">
        <f t="shared" si="442"/>
        <v>-1.56749562688971</v>
      </c>
      <c r="Z521" t="str">
        <f t="shared" si="429"/>
        <v>-8,37268262446447+20,919008174552i</v>
      </c>
      <c r="AA521" s="4">
        <f t="shared" si="443"/>
        <v>22.5323482428482</v>
      </c>
      <c r="AB521" s="4">
        <f t="shared" si="444"/>
        <v>1.95151200576852</v>
      </c>
      <c r="AC521" s="67" t="str">
        <f t="shared" si="445"/>
        <v>-5,23024707388232+2,13046785123882i</v>
      </c>
      <c r="AD521" s="68">
        <f t="shared" si="446"/>
        <v>15.0371413318867</v>
      </c>
      <c r="AE521" s="31">
        <f t="shared" si="447"/>
        <v>157.837163859486</v>
      </c>
      <c r="AF521" s="32" t="str">
        <f t="shared" si="448"/>
        <v>432,040091031901</v>
      </c>
      <c r="AG521" s="32" t="str">
        <f t="shared" si="430"/>
        <v>1+11171,0531520468i</v>
      </c>
      <c r="AH521" s="32">
        <f t="shared" si="449"/>
        <v>11171.0531968053</v>
      </c>
      <c r="AI521" s="32">
        <f t="shared" si="450"/>
        <v>1.57070680972039</v>
      </c>
      <c r="AJ521" s="32" t="str">
        <f t="shared" si="431"/>
        <v>1+105,566452286843i</v>
      </c>
      <c r="AK521" s="32">
        <f t="shared" si="451"/>
        <v>105.571188533758</v>
      </c>
      <c r="AL521" s="32">
        <f t="shared" si="452"/>
        <v>1.56132390379283</v>
      </c>
      <c r="AM521" s="32" t="str">
        <f t="shared" si="432"/>
        <v>1-31,1656707234818i</v>
      </c>
      <c r="AN521" s="32">
        <f t="shared" si="453"/>
        <v>31.1817098896852</v>
      </c>
      <c r="AO521" s="32">
        <f t="shared" si="454"/>
        <v>-1.53872074473252</v>
      </c>
      <c r="AP521" s="30" t="str">
        <f t="shared" si="455"/>
        <v>2,88884145104315-127,280957959876i</v>
      </c>
      <c r="AQ521" s="32">
        <f t="shared" si="456"/>
        <v>42.0975053301782</v>
      </c>
      <c r="AR521" s="31">
        <f t="shared" si="457"/>
        <v>-88.6998054316176</v>
      </c>
      <c r="AS521" t="str">
        <f t="shared" si="433"/>
        <v>-0,000201496259351621</v>
      </c>
      <c r="AT521" t="str">
        <f t="shared" si="434"/>
        <v>1,51280496357484i</v>
      </c>
      <c r="AU521">
        <f t="shared" si="458"/>
        <v>1.51280496357484</v>
      </c>
      <c r="AV521">
        <f t="shared" si="459"/>
        <v>1.5707963267949</v>
      </c>
      <c r="AW521" t="str">
        <f t="shared" si="435"/>
        <v>1+77,4528393758255i</v>
      </c>
      <c r="AX521">
        <f t="shared" si="460"/>
        <v>77.4592946480758</v>
      </c>
      <c r="AY521">
        <f t="shared" si="461"/>
        <v>1.55788596161959</v>
      </c>
      <c r="AZ521" t="str">
        <f t="shared" si="436"/>
        <v>1+3702,90489526552i</v>
      </c>
      <c r="BA521">
        <f t="shared" si="462"/>
        <v>3702.90503029464</v>
      </c>
      <c r="BB521">
        <f t="shared" si="463"/>
        <v>1.57052626855576</v>
      </c>
      <c r="BC521" s="30" t="str">
        <f t="shared" si="464"/>
        <v>-0,0000804820699697568+0,00636675864963173i</v>
      </c>
      <c r="BD521" s="32">
        <f t="shared" si="465"/>
        <v>-43.920938337472</v>
      </c>
      <c r="BE521" s="31">
        <f t="shared" si="466"/>
        <v>90.7242362391928</v>
      </c>
      <c r="BF521" s="30" t="str">
        <f t="shared" si="467"/>
        <v>-0,0131432335086778-0,033471185260023i</v>
      </c>
      <c r="BG521" s="68">
        <f t="shared" si="468"/>
        <v>-28.8837970055853</v>
      </c>
      <c r="BH521" s="31">
        <f t="shared" si="469"/>
        <v>-111.438599901321</v>
      </c>
      <c r="BI521" s="30" t="str">
        <f t="shared" si="476"/>
        <v>0,810134640084659+0,0286363912601881i</v>
      </c>
      <c r="BJ521" s="68">
        <f t="shared" si="470"/>
        <v>-1.8234330072938</v>
      </c>
      <c r="BK521" s="31">
        <f t="shared" si="477"/>
        <v>2.0244308075752</v>
      </c>
      <c r="BL521" s="32">
        <f t="shared" si="471"/>
        <v>-28.8837970055853</v>
      </c>
      <c r="BM521" s="31">
        <f t="shared" si="472"/>
        <v>-111.438599901321</v>
      </c>
      <c r="BO521">
        <f t="shared" si="473"/>
        <v>0</v>
      </c>
      <c r="BP521">
        <f t="shared" si="474"/>
        <v>0</v>
      </c>
    </row>
    <row r="522" spans="14:68">
      <c r="N522" s="7">
        <v>4</v>
      </c>
      <c r="O522" s="18">
        <f t="shared" si="478"/>
        <v>1096478.19614319</v>
      </c>
      <c r="P522" s="86" t="str">
        <f t="shared" si="425"/>
        <v>54,5454545454545</v>
      </c>
      <c r="Q522" s="4" t="str">
        <f t="shared" si="426"/>
        <v>1+14029,274135723i</v>
      </c>
      <c r="R522" s="4">
        <f t="shared" si="437"/>
        <v>14029.2741713628</v>
      </c>
      <c r="S522" s="4">
        <f t="shared" si="438"/>
        <v>1.57072504726977</v>
      </c>
      <c r="T522" s="4" t="str">
        <f t="shared" si="427"/>
        <v>1+108,025410845067i</v>
      </c>
      <c r="U522" s="4">
        <f t="shared" si="439"/>
        <v>108.030039286513</v>
      </c>
      <c r="V522" s="4">
        <f t="shared" si="440"/>
        <v>1.56153951000403</v>
      </c>
      <c r="W522" t="str">
        <f t="shared" si="428"/>
        <v>1-310,021906124235i</v>
      </c>
      <c r="X522" s="4">
        <f t="shared" si="441"/>
        <v>310.023518909298</v>
      </c>
      <c r="Y522" s="4">
        <f t="shared" si="442"/>
        <v>-1.56757075946514</v>
      </c>
      <c r="Z522" t="str">
        <f t="shared" si="429"/>
        <v>-8,8144035478974+21,4062744704829i</v>
      </c>
      <c r="AA522" s="4">
        <f t="shared" si="443"/>
        <v>23.149995607145</v>
      </c>
      <c r="AB522" s="4">
        <f t="shared" si="444"/>
        <v>1.96140557679979</v>
      </c>
      <c r="AC522" s="67" t="str">
        <f t="shared" si="445"/>
        <v>-5,18832239522023+2,1726360186578i</v>
      </c>
      <c r="AD522" s="68">
        <f t="shared" si="446"/>
        <v>15.0022325014199</v>
      </c>
      <c r="AE522" s="31">
        <f t="shared" si="447"/>
        <v>157.278257412592</v>
      </c>
      <c r="AF522" s="32" t="str">
        <f t="shared" si="448"/>
        <v>432,040091031901</v>
      </c>
      <c r="AG522" s="32" t="str">
        <f t="shared" si="430"/>
        <v>1+11431,2604068854i</v>
      </c>
      <c r="AH522" s="32">
        <f t="shared" si="449"/>
        <v>11431.2604506251</v>
      </c>
      <c r="AI522" s="32">
        <f t="shared" si="450"/>
        <v>1.57070884737777</v>
      </c>
      <c r="AJ522" s="32" t="str">
        <f t="shared" si="431"/>
        <v>1+108,025410845067i</v>
      </c>
      <c r="AK522" s="32">
        <f t="shared" si="451"/>
        <v>108.030039286513</v>
      </c>
      <c r="AL522" s="32">
        <f t="shared" si="452"/>
        <v>1.56153951000403</v>
      </c>
      <c r="AM522" s="32" t="str">
        <f t="shared" si="432"/>
        <v>1-31,8916124510684i</v>
      </c>
      <c r="AN522" s="32">
        <f t="shared" si="453"/>
        <v>31.9072867027132</v>
      </c>
      <c r="AO522" s="32">
        <f t="shared" si="454"/>
        <v>-1.5394503903829</v>
      </c>
      <c r="AP522" s="30" t="str">
        <f t="shared" si="455"/>
        <v>2,88884129626621-130,243943035837i</v>
      </c>
      <c r="AQ522" s="32">
        <f t="shared" si="456"/>
        <v>42.2972867556185</v>
      </c>
      <c r="AR522" s="31">
        <f t="shared" si="457"/>
        <v>-88.7293744711539</v>
      </c>
      <c r="AS522" t="str">
        <f t="shared" si="433"/>
        <v>-0,000201496259351621</v>
      </c>
      <c r="AT522" t="str">
        <f t="shared" si="434"/>
        <v>1,54804271791368i</v>
      </c>
      <c r="AU522">
        <f t="shared" si="458"/>
        <v>1.54804271791368</v>
      </c>
      <c r="AV522">
        <f t="shared" si="459"/>
        <v>1.5707963267949</v>
      </c>
      <c r="AW522" t="str">
        <f t="shared" si="435"/>
        <v>1+79,2569477655292i</v>
      </c>
      <c r="AX522">
        <f t="shared" si="460"/>
        <v>79.2632561096743</v>
      </c>
      <c r="AY522">
        <f t="shared" si="461"/>
        <v>1.55817980586189</v>
      </c>
      <c r="AZ522" t="str">
        <f t="shared" si="436"/>
        <v>1+3789,15663040731i</v>
      </c>
      <c r="BA522">
        <f t="shared" si="462"/>
        <v>3789.15676236279</v>
      </c>
      <c r="BB522">
        <f t="shared" si="463"/>
        <v>1.5705324158315</v>
      </c>
      <c r="BC522" s="30" t="str">
        <f t="shared" si="464"/>
        <v>-0,0000768603566819673+0,00622187922510862i</v>
      </c>
      <c r="BD522" s="32">
        <f t="shared" si="465"/>
        <v>-44.1209057738396</v>
      </c>
      <c r="BE522" s="31">
        <f t="shared" si="466"/>
        <v>90.7077524172301</v>
      </c>
      <c r="BF522" s="30" t="str">
        <f t="shared" si="467"/>
        <v>-0,013119102598332-0,0324481049033207i</v>
      </c>
      <c r="BG522" s="68">
        <f t="shared" si="468"/>
        <v>-29.1186732724196</v>
      </c>
      <c r="BH522" s="31">
        <f t="shared" si="469"/>
        <v>-112.013990170178</v>
      </c>
      <c r="BI522" s="30" t="str">
        <f t="shared" si="476"/>
        <v>0,810140045998476+0,0279846175632748i</v>
      </c>
      <c r="BJ522" s="68">
        <f t="shared" si="470"/>
        <v>-1.82361901822104</v>
      </c>
      <c r="BK522" s="31">
        <f t="shared" si="477"/>
        <v>1.97837794607617</v>
      </c>
      <c r="BL522" s="32">
        <f t="shared" si="471"/>
        <v>-29.1186732724196</v>
      </c>
      <c r="BM522" s="31">
        <f t="shared" si="472"/>
        <v>-112.013990170178</v>
      </c>
      <c r="BO522">
        <f t="shared" si="473"/>
        <v>0</v>
      </c>
      <c r="BP522">
        <f t="shared" si="474"/>
        <v>0</v>
      </c>
    </row>
    <row r="523" spans="14:68">
      <c r="N523" s="7">
        <v>5</v>
      </c>
      <c r="O523" s="18">
        <f t="shared" si="478"/>
        <v>1122018.45430196</v>
      </c>
      <c r="P523" s="86" t="str">
        <f t="shared" si="425"/>
        <v>54,5454545454545</v>
      </c>
      <c r="Q523" s="4" t="str">
        <f t="shared" si="426"/>
        <v>1+14356,0579098708i</v>
      </c>
      <c r="R523" s="4">
        <f t="shared" si="437"/>
        <v>14356.0579446993</v>
      </c>
      <c r="S523" s="4">
        <f t="shared" si="438"/>
        <v>1.57072666978984</v>
      </c>
      <c r="T523" s="4" t="str">
        <f t="shared" si="427"/>
        <v>1+110,541645906006i</v>
      </c>
      <c r="U523" s="4">
        <f t="shared" si="439"/>
        <v>110.546168995623</v>
      </c>
      <c r="V523" s="4">
        <f t="shared" si="440"/>
        <v>1.56175020925032</v>
      </c>
      <c r="W523" t="str">
        <f t="shared" si="428"/>
        <v>1-317,24324399045i</v>
      </c>
      <c r="X523" s="4">
        <f t="shared" si="441"/>
        <v>317.244820064228</v>
      </c>
      <c r="Y523" s="4">
        <f t="shared" si="442"/>
        <v>-1.56764418184954</v>
      </c>
      <c r="Z523" t="str">
        <f t="shared" si="429"/>
        <v>-9,2769421370952+21,9048906564834i</v>
      </c>
      <c r="AA523" s="4">
        <f t="shared" si="443"/>
        <v>23.7883561871666</v>
      </c>
      <c r="AB523" s="4">
        <f t="shared" si="444"/>
        <v>1.97140432757383</v>
      </c>
      <c r="AC523" s="67" t="str">
        <f t="shared" si="445"/>
        <v>-5,1451005466092+2,21443130876826i</v>
      </c>
      <c r="AD523" s="68">
        <f t="shared" si="446"/>
        <v>14.96594332612</v>
      </c>
      <c r="AE523" s="31">
        <f t="shared" si="447"/>
        <v>156.713143614095</v>
      </c>
      <c r="AF523" s="32" t="str">
        <f t="shared" si="448"/>
        <v>432,040091031901</v>
      </c>
      <c r="AG523" s="32" t="str">
        <f t="shared" si="430"/>
        <v>1+11697,5286673022i</v>
      </c>
      <c r="AH523" s="32">
        <f t="shared" si="449"/>
        <v>11697.5287100463</v>
      </c>
      <c r="AI523" s="32">
        <f t="shared" si="450"/>
        <v>1.5707108386524</v>
      </c>
      <c r="AJ523" s="32" t="str">
        <f t="shared" si="431"/>
        <v>1+110,541645906006i</v>
      </c>
      <c r="AK523" s="32">
        <f t="shared" si="451"/>
        <v>110.546168995623</v>
      </c>
      <c r="AL523" s="32">
        <f t="shared" si="452"/>
        <v>1.56175020925032</v>
      </c>
      <c r="AM523" s="32" t="str">
        <f t="shared" si="432"/>
        <v>1-32,6344635337117i</v>
      </c>
      <c r="AN523" s="32">
        <f t="shared" si="453"/>
        <v>32.6497811651649</v>
      </c>
      <c r="AO523" s="32">
        <f t="shared" si="454"/>
        <v>-1.5401634595334</v>
      </c>
      <c r="AP523" s="30" t="str">
        <f t="shared" si="455"/>
        <v>2,8888411484554-133,275985174377i</v>
      </c>
      <c r="AQ523" s="32">
        <f t="shared" si="456"/>
        <v>42.4970780097807</v>
      </c>
      <c r="AR523" s="31">
        <f t="shared" si="457"/>
        <v>-88.7582722380518</v>
      </c>
      <c r="AS523" t="str">
        <f t="shared" si="433"/>
        <v>-0,000201496259351621</v>
      </c>
      <c r="AT523" t="str">
        <f t="shared" si="434"/>
        <v>1,58410126499231i</v>
      </c>
      <c r="AU523">
        <f t="shared" si="458"/>
        <v>1.58410126499231</v>
      </c>
      <c r="AV523">
        <f t="shared" si="459"/>
        <v>1.5707963267949</v>
      </c>
      <c r="AW523" t="str">
        <f t="shared" si="435"/>
        <v>1+81,1030792380272i</v>
      </c>
      <c r="AX523">
        <f t="shared" si="460"/>
        <v>81.1092439977696</v>
      </c>
      <c r="AY523">
        <f t="shared" si="461"/>
        <v>1.55846696349803</v>
      </c>
      <c r="AZ523" t="str">
        <f t="shared" si="436"/>
        <v>1+3877,41742654993i</v>
      </c>
      <c r="BA523">
        <f t="shared" si="462"/>
        <v>3877.41755550174</v>
      </c>
      <c r="BB523">
        <f t="shared" si="463"/>
        <v>1.57053842317818</v>
      </c>
      <c r="BC523" s="30" t="str">
        <f t="shared" si="464"/>
        <v>-0,0000734015966207135+0,0060802946095382i</v>
      </c>
      <c r="BD523" s="32">
        <f t="shared" si="465"/>
        <v>-44.3208746755839</v>
      </c>
      <c r="BE523" s="31">
        <f t="shared" si="466"/>
        <v>90.6916436922348</v>
      </c>
      <c r="BF523" s="30" t="str">
        <f t="shared" si="467"/>
        <v>-0,0130867361550011-0,0314462699127505i</v>
      </c>
      <c r="BG523" s="68">
        <f t="shared" si="468"/>
        <v>-29.3549313494639</v>
      </c>
      <c r="BH523" s="31">
        <f t="shared" si="469"/>
        <v>-112.59521269367</v>
      </c>
      <c r="BI523" s="30" t="str">
        <f t="shared" si="476"/>
        <v>0,810145208683977+0,0273476753657633i</v>
      </c>
      <c r="BJ523" s="68">
        <f t="shared" si="470"/>
        <v>-1.82379666580317</v>
      </c>
      <c r="BK523" s="31">
        <f t="shared" si="477"/>
        <v>1.93337145418297</v>
      </c>
      <c r="BL523" s="32">
        <f t="shared" si="471"/>
        <v>-29.3549313494639</v>
      </c>
      <c r="BM523" s="31">
        <f t="shared" si="472"/>
        <v>-112.59521269367</v>
      </c>
      <c r="BO523">
        <f t="shared" si="473"/>
        <v>0</v>
      </c>
      <c r="BP523">
        <f t="shared" si="474"/>
        <v>0</v>
      </c>
    </row>
    <row r="524" spans="14:68">
      <c r="N524" s="7">
        <v>6</v>
      </c>
      <c r="O524" s="18">
        <f t="shared" si="478"/>
        <v>1148153.62149688</v>
      </c>
      <c r="P524" s="86" t="str">
        <f t="shared" si="425"/>
        <v>54,5454545454545</v>
      </c>
      <c r="Q524" s="4" t="str">
        <f t="shared" si="426"/>
        <v>1+14690,4534559475i</v>
      </c>
      <c r="R524" s="4">
        <f t="shared" si="437"/>
        <v>14690.4534899832</v>
      </c>
      <c r="S524" s="4">
        <f t="shared" si="438"/>
        <v>1.57072825537685</v>
      </c>
      <c r="T524" s="4" t="str">
        <f t="shared" si="427"/>
        <v>1+113,116491610796i</v>
      </c>
      <c r="U524" s="4">
        <f t="shared" si="439"/>
        <v>113.120911746393</v>
      </c>
      <c r="V524" s="4">
        <f t="shared" si="440"/>
        <v>1.56195611317235</v>
      </c>
      <c r="W524" t="str">
        <f t="shared" si="428"/>
        <v>1-324,632788423841i</v>
      </c>
      <c r="X524" s="4">
        <f t="shared" si="441"/>
        <v>324.634328621972</v>
      </c>
      <c r="Y524" s="4">
        <f t="shared" si="442"/>
        <v>-1.56771593296927</v>
      </c>
      <c r="Z524" t="str">
        <f t="shared" si="429"/>
        <v>-9,7612794984197+22,4151211054557i</v>
      </c>
      <c r="AA524" s="4">
        <f t="shared" si="443"/>
        <v>24.4483175621251</v>
      </c>
      <c r="AB524" s="4">
        <f t="shared" si="444"/>
        <v>1.98150788194474</v>
      </c>
      <c r="AC524" s="67" t="str">
        <f t="shared" si="445"/>
        <v>-5,1005733635946+2,25580747937371i</v>
      </c>
      <c r="AD524" s="68">
        <f t="shared" si="446"/>
        <v>14.9282344821633</v>
      </c>
      <c r="AE524" s="31">
        <f t="shared" si="447"/>
        <v>156.141848132499</v>
      </c>
      <c r="AF524" s="32" t="str">
        <f t="shared" si="448"/>
        <v>432,040091031901</v>
      </c>
      <c r="AG524" s="32" t="str">
        <f t="shared" si="430"/>
        <v>1+11969,9991122535i</v>
      </c>
      <c r="AH524" s="32">
        <f t="shared" si="449"/>
        <v>11969.9991540246</v>
      </c>
      <c r="AI524" s="32">
        <f t="shared" si="450"/>
        <v>1.57071278460009</v>
      </c>
      <c r="AJ524" s="32" t="str">
        <f t="shared" si="431"/>
        <v>1+113,116491610796i</v>
      </c>
      <c r="AK524" s="32">
        <f t="shared" si="451"/>
        <v>113.120911746393</v>
      </c>
      <c r="AL524" s="32">
        <f t="shared" si="452"/>
        <v>1.56195611317235</v>
      </c>
      <c r="AM524" s="32" t="str">
        <f t="shared" si="432"/>
        <v>1-33,394617840889i</v>
      </c>
      <c r="AN524" s="32">
        <f t="shared" si="453"/>
        <v>33.4095869585217</v>
      </c>
      <c r="AO524" s="32">
        <f t="shared" si="454"/>
        <v>-1.54086032736048</v>
      </c>
      <c r="AP524" s="30" t="str">
        <f t="shared" si="455"/>
        <v>2,88884100729717-136,378692004373i</v>
      </c>
      <c r="AQ524" s="32">
        <f t="shared" si="456"/>
        <v>42.696878651069</v>
      </c>
      <c r="AR524" s="31">
        <f t="shared" si="457"/>
        <v>-88.7865138922938</v>
      </c>
      <c r="AS524" t="str">
        <f t="shared" si="433"/>
        <v>-0,000201496259351621</v>
      </c>
      <c r="AT524" t="str">
        <f t="shared" si="434"/>
        <v>1,62099972352971i</v>
      </c>
      <c r="AU524">
        <f t="shared" si="458"/>
        <v>1.62099972352971</v>
      </c>
      <c r="AV524">
        <f t="shared" si="459"/>
        <v>1.5707963267949</v>
      </c>
      <c r="AW524" t="str">
        <f t="shared" si="435"/>
        <v>1+82,992212636664i</v>
      </c>
      <c r="AX524">
        <f t="shared" si="460"/>
        <v>82.9982370796468</v>
      </c>
      <c r="AY524">
        <f t="shared" si="461"/>
        <v>1.55874758659326</v>
      </c>
      <c r="AZ524" t="str">
        <f t="shared" si="436"/>
        <v>1+3967,73408073582i</v>
      </c>
      <c r="BA524">
        <f t="shared" si="462"/>
        <v>3967.73420675233</v>
      </c>
      <c r="BB524">
        <f t="shared" si="463"/>
        <v>1.57054429378097</v>
      </c>
      <c r="BC524" s="30" t="str">
        <f t="shared" si="464"/>
        <v>-0,0000700984601447224+0,00594193000737694i</v>
      </c>
      <c r="BD524" s="32">
        <f t="shared" si="465"/>
        <v>-44.5208449767723</v>
      </c>
      <c r="BE524" s="31">
        <f t="shared" si="466"/>
        <v>90.6759015340075</v>
      </c>
      <c r="BF524" s="30" t="str">
        <f t="shared" si="467"/>
        <v>-0,0130463078139128-0,0304653785546573i</v>
      </c>
      <c r="BG524" s="68">
        <f t="shared" si="468"/>
        <v>-29.592610494609</v>
      </c>
      <c r="BH524" s="31">
        <f t="shared" si="469"/>
        <v>-113.182250333493</v>
      </c>
      <c r="BI524" s="30" t="str">
        <f t="shared" si="476"/>
        <v>0,810150139081387+0,026725227373858i</v>
      </c>
      <c r="BJ524" s="68">
        <f t="shared" si="470"/>
        <v>-1.82396632570328</v>
      </c>
      <c r="BK524" s="31">
        <f t="shared" si="477"/>
        <v>1.88938764171372</v>
      </c>
      <c r="BL524" s="32">
        <f t="shared" si="471"/>
        <v>-29.592610494609</v>
      </c>
      <c r="BM524" s="31">
        <f t="shared" si="472"/>
        <v>-113.182250333493</v>
      </c>
      <c r="BO524">
        <f t="shared" si="473"/>
        <v>0</v>
      </c>
      <c r="BP524">
        <f t="shared" si="474"/>
        <v>0</v>
      </c>
    </row>
    <row r="525" spans="14:68">
      <c r="N525" s="7">
        <v>7</v>
      </c>
      <c r="O525" s="18">
        <f t="shared" si="478"/>
        <v>1174897.55493953</v>
      </c>
      <c r="P525" s="86" t="str">
        <f t="shared" si="425"/>
        <v>54,5454545454545</v>
      </c>
      <c r="Q525" s="4" t="str">
        <f t="shared" si="426"/>
        <v>1+15032,6380748977i</v>
      </c>
      <c r="R525" s="4">
        <f t="shared" si="437"/>
        <v>15032.6381081587</v>
      </c>
      <c r="S525" s="4">
        <f t="shared" si="438"/>
        <v>1.5707298048715</v>
      </c>
      <c r="T525" s="4" t="str">
        <f t="shared" si="427"/>
        <v>1+115,751313176713i</v>
      </c>
      <c r="U525" s="4">
        <f t="shared" si="439"/>
        <v>115.755632701539</v>
      </c>
      <c r="V525" s="4">
        <f t="shared" si="440"/>
        <v>1.56215733087325</v>
      </c>
      <c r="W525" t="str">
        <f t="shared" si="428"/>
        <v>1-332,194457458678i</v>
      </c>
      <c r="X525" s="4">
        <f t="shared" si="441"/>
        <v>332.19596259778</v>
      </c>
      <c r="Y525" s="4">
        <f t="shared" si="442"/>
        <v>-1.56778605086476</v>
      </c>
      <c r="Z525" t="str">
        <f t="shared" si="429"/>
        <v>-10,2684429763502+22,9372363483373i</v>
      </c>
      <c r="AA525" s="4">
        <f t="shared" si="443"/>
        <v>25.1308124114212</v>
      </c>
      <c r="AB525" s="4">
        <f t="shared" si="444"/>
        <v>1.99171566969065</v>
      </c>
      <c r="AC525" s="67" t="str">
        <f t="shared" si="445"/>
        <v>-5,05473486906612+2,29671664064461i</v>
      </c>
      <c r="AD525" s="68">
        <f t="shared" si="446"/>
        <v>14.8890663461867</v>
      </c>
      <c r="AE525" s="31">
        <f t="shared" si="447"/>
        <v>155.564407662534</v>
      </c>
      <c r="AF525" s="32" t="str">
        <f t="shared" si="448"/>
        <v>432,040091031901</v>
      </c>
      <c r="AG525" s="32" t="str">
        <f t="shared" si="430"/>
        <v>1+12248,8162091759i</v>
      </c>
      <c r="AH525" s="32">
        <f t="shared" si="449"/>
        <v>12248.8162499962</v>
      </c>
      <c r="AI525" s="32">
        <f t="shared" si="450"/>
        <v>1.5707146862526</v>
      </c>
      <c r="AJ525" s="32" t="str">
        <f t="shared" si="431"/>
        <v>1+115,751313176713i</v>
      </c>
      <c r="AK525" s="32">
        <f t="shared" si="451"/>
        <v>115.755632701539</v>
      </c>
      <c r="AL525" s="32">
        <f t="shared" si="452"/>
        <v>1.56215733087325</v>
      </c>
      <c r="AM525" s="32" t="str">
        <f t="shared" si="432"/>
        <v>1-34,1724784164757i</v>
      </c>
      <c r="AN525" s="32">
        <f t="shared" si="453"/>
        <v>34.1871069428885</v>
      </c>
      <c r="AO525" s="32">
        <f t="shared" si="454"/>
        <v>-1.5415413606438</v>
      </c>
      <c r="AP525" s="30" t="str">
        <f t="shared" si="455"/>
        <v>2,88884087249212-139,553708622054i</v>
      </c>
      <c r="AQ525" s="32">
        <f t="shared" si="456"/>
        <v>42.896688257695</v>
      </c>
      <c r="AR525" s="31">
        <f t="shared" si="457"/>
        <v>-88.8141142567748</v>
      </c>
      <c r="AS525" t="str">
        <f t="shared" si="433"/>
        <v>-0,000201496259351621</v>
      </c>
      <c r="AT525" t="str">
        <f t="shared" si="434"/>
        <v>1,658757657577i</v>
      </c>
      <c r="AU525">
        <f t="shared" si="458"/>
        <v>1.658757657577</v>
      </c>
      <c r="AV525">
        <f t="shared" si="459"/>
        <v>1.5707963267949</v>
      </c>
      <c r="AW525" t="str">
        <f t="shared" si="435"/>
        <v>1+84,9253496049728i</v>
      </c>
      <c r="AX525">
        <f t="shared" si="460"/>
        <v>84.9312369245077</v>
      </c>
      <c r="AY525">
        <f t="shared" si="461"/>
        <v>1.55902182376076</v>
      </c>
      <c r="AZ525" t="str">
        <f t="shared" si="436"/>
        <v>1+4060,1544800505i</v>
      </c>
      <c r="BA525">
        <f t="shared" si="462"/>
        <v>4060.15460319852</v>
      </c>
      <c r="BB525">
        <f t="shared" si="463"/>
        <v>1.57055003075254</v>
      </c>
      <c r="BC525" s="30" t="str">
        <f t="shared" si="464"/>
        <v>-0,0000669439471084392+0,00580671231206285i</v>
      </c>
      <c r="BD525" s="32">
        <f t="shared" si="465"/>
        <v>-44.7208166144377</v>
      </c>
      <c r="BE525" s="31">
        <f t="shared" si="466"/>
        <v>90.6605176059825</v>
      </c>
      <c r="BF525" s="30" t="str">
        <f t="shared" si="467"/>
        <v>-0,0129979888908287-0,029505142475734i</v>
      </c>
      <c r="BG525" s="68">
        <f t="shared" si="468"/>
        <v>-29.831750268251</v>
      </c>
      <c r="BH525" s="31">
        <f t="shared" si="469"/>
        <v>-113.775074731483</v>
      </c>
      <c r="BI525" s="30" t="str">
        <f t="shared" si="476"/>
        <v>0,81015484763914+0,0261169439506717i</v>
      </c>
      <c r="BJ525" s="68">
        <f t="shared" si="470"/>
        <v>-1.82412835674269</v>
      </c>
      <c r="BK525" s="31">
        <f t="shared" si="477"/>
        <v>1.84640334920766</v>
      </c>
      <c r="BL525" s="32">
        <f t="shared" si="471"/>
        <v>-29.831750268251</v>
      </c>
      <c r="BM525" s="31">
        <f t="shared" si="472"/>
        <v>-113.775074731483</v>
      </c>
      <c r="BO525">
        <f t="shared" si="473"/>
        <v>0</v>
      </c>
      <c r="BP525">
        <f t="shared" si="474"/>
        <v>0</v>
      </c>
    </row>
    <row r="526" spans="14:68">
      <c r="N526" s="7">
        <v>8</v>
      </c>
      <c r="O526" s="18">
        <f t="shared" si="478"/>
        <v>1202264.43461742</v>
      </c>
      <c r="P526" s="86" t="str">
        <f t="shared" si="425"/>
        <v>54,5454545454545</v>
      </c>
      <c r="Q526" s="4" t="str">
        <f t="shared" si="426"/>
        <v>1+15382,7931975358i</v>
      </c>
      <c r="R526" s="4">
        <f t="shared" si="437"/>
        <v>15382.7932300396</v>
      </c>
      <c r="S526" s="4">
        <f t="shared" si="438"/>
        <v>1.57073131909534</v>
      </c>
      <c r="T526" s="4" t="str">
        <f t="shared" si="427"/>
        <v>1+118,447507621026i</v>
      </c>
      <c r="U526" s="4">
        <f t="shared" si="439"/>
        <v>118.451728825007</v>
      </c>
      <c r="V526" s="4">
        <f t="shared" si="440"/>
        <v>1.56235396897607</v>
      </c>
      <c r="W526" t="str">
        <f t="shared" si="428"/>
        <v>1-339,932260391974i</v>
      </c>
      <c r="X526" s="4">
        <f t="shared" si="441"/>
        <v>339.933731270077</v>
      </c>
      <c r="Y526" s="4">
        <f t="shared" si="442"/>
        <v>-1.5678545727107</v>
      </c>
      <c r="Z526" t="str">
        <f t="shared" si="429"/>
        <v>-10,79950833262+23,4715132175411i</v>
      </c>
      <c r="AA526" s="4">
        <f t="shared" si="443"/>
        <v>25.8368208754006</v>
      </c>
      <c r="AB526" s="4">
        <f t="shared" si="444"/>
        <v>2.00202692117158</v>
      </c>
      <c r="AC526" s="67" t="str">
        <f t="shared" si="445"/>
        <v>-5,00758143176706+2,33710935248582i</v>
      </c>
      <c r="AD526" s="68">
        <f t="shared" si="446"/>
        <v>14.8483990701236</v>
      </c>
      <c r="AE526" s="31">
        <f t="shared" si="447"/>
        <v>154.980870233351</v>
      </c>
      <c r="AF526" s="32" t="str">
        <f t="shared" si="448"/>
        <v>432,040091031901</v>
      </c>
      <c r="AG526" s="32" t="str">
        <f t="shared" si="430"/>
        <v>1+12534,1277905847i</v>
      </c>
      <c r="AH526" s="32">
        <f t="shared" si="449"/>
        <v>12534.1278304758</v>
      </c>
      <c r="AI526" s="32">
        <f t="shared" si="450"/>
        <v>1.57071654461822</v>
      </c>
      <c r="AJ526" s="32" t="str">
        <f t="shared" si="431"/>
        <v>1+118,447507621026i</v>
      </c>
      <c r="AK526" s="32">
        <f t="shared" si="451"/>
        <v>118.451728825007</v>
      </c>
      <c r="AL526" s="32">
        <f t="shared" si="452"/>
        <v>1.56235396897607</v>
      </c>
      <c r="AM526" s="32" t="str">
        <f t="shared" si="432"/>
        <v>1-34,9684576924451i</v>
      </c>
      <c r="AN526" s="32">
        <f t="shared" si="453"/>
        <v>34.9827533706014</v>
      </c>
      <c r="AO526" s="32">
        <f t="shared" si="454"/>
        <v>-1.54220691794784</v>
      </c>
      <c r="AP526" s="30" t="str">
        <f t="shared" si="455"/>
        <v>2,88884074375428-142,802718463257i</v>
      </c>
      <c r="AQ526" s="32">
        <f t="shared" si="456"/>
        <v>43.0965064267922</v>
      </c>
      <c r="AR526" s="31">
        <f t="shared" si="457"/>
        <v>-88.8410878244442</v>
      </c>
      <c r="AS526" t="str">
        <f t="shared" si="433"/>
        <v>-0,000201496259351621</v>
      </c>
      <c r="AT526" t="str">
        <f t="shared" si="434"/>
        <v>1,69739508689059i</v>
      </c>
      <c r="AU526">
        <f t="shared" si="458"/>
        <v>1.69739508689059</v>
      </c>
      <c r="AV526">
        <f t="shared" si="459"/>
        <v>1.5707963267949</v>
      </c>
      <c r="AW526" t="str">
        <f t="shared" si="435"/>
        <v>1+86,9035151177622i</v>
      </c>
      <c r="AX526">
        <f t="shared" si="460"/>
        <v>86.9092684345181</v>
      </c>
      <c r="AY526">
        <f t="shared" si="461"/>
        <v>1.55928982023962</v>
      </c>
      <c r="AZ526" t="str">
        <f t="shared" si="436"/>
        <v>1+4154,72762701301i</v>
      </c>
      <c r="BA526">
        <f t="shared" si="462"/>
        <v>4154.72774735784</v>
      </c>
      <c r="BB526">
        <f t="shared" si="463"/>
        <v>1.57055563713472</v>
      </c>
      <c r="BC526" s="30" t="str">
        <f t="shared" si="464"/>
        <v>-0,0000639313720667893+0,00567457006847454i</v>
      </c>
      <c r="BD526" s="32">
        <f t="shared" si="465"/>
        <v>-44.9207895284454</v>
      </c>
      <c r="BE526" s="31">
        <f t="shared" si="466"/>
        <v>90.6454837608564</v>
      </c>
      <c r="BF526" s="30" t="str">
        <f t="shared" si="467"/>
        <v>-0,0129419492266989-0,0285652863157288i</v>
      </c>
      <c r="BG526" s="68">
        <f t="shared" si="468"/>
        <v>-30.0723904583218</v>
      </c>
      <c r="BH526" s="31">
        <f t="shared" si="469"/>
        <v>-114.373646005793</v>
      </c>
      <c r="BI526" s="30" t="str">
        <f t="shared" si="476"/>
        <v>0,810159344335964+0,0255225029433212i</v>
      </c>
      <c r="BJ526" s="68">
        <f t="shared" si="470"/>
        <v>-1.82428310165317</v>
      </c>
      <c r="BK526" s="31">
        <f t="shared" si="477"/>
        <v>1.80439593641214</v>
      </c>
      <c r="BL526" s="32">
        <f t="shared" si="471"/>
        <v>-30.0723904583218</v>
      </c>
      <c r="BM526" s="31">
        <f t="shared" si="472"/>
        <v>-114.373646005793</v>
      </c>
      <c r="BO526">
        <f t="shared" si="473"/>
        <v>0</v>
      </c>
      <c r="BP526">
        <f t="shared" si="474"/>
        <v>0</v>
      </c>
    </row>
    <row r="527" spans="14:68">
      <c r="N527" s="7">
        <v>9</v>
      </c>
      <c r="O527" s="18">
        <f t="shared" si="478"/>
        <v>1230268.77081238</v>
      </c>
      <c r="P527" s="86" t="str">
        <f t="shared" si="425"/>
        <v>54,5454545454545</v>
      </c>
      <c r="Q527" s="4" t="str">
        <f t="shared" si="426"/>
        <v>1+15741,1044807423i</v>
      </c>
      <c r="R527" s="4">
        <f t="shared" si="437"/>
        <v>15741.1045125063</v>
      </c>
      <c r="S527" s="4">
        <f t="shared" si="438"/>
        <v>1.57073279885123</v>
      </c>
      <c r="T527" s="4" t="str">
        <f t="shared" si="427"/>
        <v>1+121,206504501716i</v>
      </c>
      <c r="U527" s="4">
        <f t="shared" si="439"/>
        <v>121.210629622672</v>
      </c>
      <c r="V527" s="4">
        <f t="shared" si="440"/>
        <v>1.56254613168008</v>
      </c>
      <c r="W527" t="str">
        <f t="shared" si="428"/>
        <v>1-347,850299909261i</v>
      </c>
      <c r="X527" s="4">
        <f t="shared" si="441"/>
        <v>347.851737306231</v>
      </c>
      <c r="Y527" s="4">
        <f t="shared" si="442"/>
        <v>-1.56792153483568</v>
      </c>
      <c r="Z527" t="str">
        <f t="shared" si="429"/>
        <v>-11,3556020280507+24,0182349937347i</v>
      </c>
      <c r="AA527" s="4">
        <f t="shared" si="443"/>
        <v>26.5673730284673</v>
      </c>
      <c r="AB527" s="4">
        <f t="shared" si="444"/>
        <v>2.012440662361</v>
      </c>
      <c r="AC527" s="67" t="str">
        <f t="shared" si="445"/>
        <v>-4,95911192222678+2,37693473670532i</v>
      </c>
      <c r="AD527" s="68">
        <f t="shared" si="446"/>
        <v>14.8061926608561</v>
      </c>
      <c r="AE527" s="31">
        <f t="shared" si="447"/>
        <v>154.391295495259</v>
      </c>
      <c r="AF527" s="32" t="str">
        <f t="shared" si="448"/>
        <v>432,040091031901</v>
      </c>
      <c r="AG527" s="32" t="str">
        <f t="shared" si="430"/>
        <v>1+12826,0851324567i</v>
      </c>
      <c r="AH527" s="32">
        <f t="shared" si="449"/>
        <v>12826.0851714398</v>
      </c>
      <c r="AI527" s="32">
        <f t="shared" si="450"/>
        <v>1.57071836068227</v>
      </c>
      <c r="AJ527" s="32" t="str">
        <f t="shared" si="431"/>
        <v>1+121,206504501716i</v>
      </c>
      <c r="AK527" s="32">
        <f t="shared" si="451"/>
        <v>121.210629622672</v>
      </c>
      <c r="AL527" s="32">
        <f t="shared" si="452"/>
        <v>1.56254613168008</v>
      </c>
      <c r="AM527" s="32" t="str">
        <f t="shared" si="432"/>
        <v>1-35,7829777075448i</v>
      </c>
      <c r="AN527" s="32">
        <f t="shared" si="453"/>
        <v>35.7969481048126</v>
      </c>
      <c r="AO527" s="32">
        <f t="shared" si="454"/>
        <v>-1.5428573498</v>
      </c>
      <c r="AP527" s="30" t="str">
        <f t="shared" si="455"/>
        <v>2,8888406208106-146,127444196004i</v>
      </c>
      <c r="AQ527" s="32">
        <f t="shared" si="456"/>
        <v>43.2963327735698</v>
      </c>
      <c r="AR527" s="31">
        <f t="shared" si="457"/>
        <v>-88.867448765319</v>
      </c>
      <c r="AS527" t="str">
        <f t="shared" si="433"/>
        <v>-0,000201496259351621</v>
      </c>
      <c r="AT527" t="str">
        <f t="shared" si="434"/>
        <v>1,73693249754691i</v>
      </c>
      <c r="AU527">
        <f t="shared" si="458"/>
        <v>1.73693249754691</v>
      </c>
      <c r="AV527">
        <f t="shared" si="459"/>
        <v>1.5707963267949</v>
      </c>
      <c r="AW527" t="str">
        <f t="shared" si="435"/>
        <v>1+88,92775802457i</v>
      </c>
      <c r="AX527">
        <f t="shared" si="460"/>
        <v>88.9333803882236</v>
      </c>
      <c r="AY527">
        <f t="shared" si="461"/>
        <v>1.55955171797104</v>
      </c>
      <c r="AZ527" t="str">
        <f t="shared" si="436"/>
        <v>1+4251,50366555763i</v>
      </c>
      <c r="BA527">
        <f t="shared" si="462"/>
        <v>4251.50378316308</v>
      </c>
      <c r="BB527">
        <f t="shared" si="463"/>
        <v>1.57056111590006</v>
      </c>
      <c r="BC527" s="30" t="str">
        <f t="shared" si="464"/>
        <v>-0,0000610543501428127+0,00554543343618481i</v>
      </c>
      <c r="BD527" s="32">
        <f t="shared" si="465"/>
        <v>-45.1207636613656</v>
      </c>
      <c r="BE527" s="31">
        <f t="shared" si="466"/>
        <v>90.6307920363132</v>
      </c>
      <c r="BF527" s="30" t="str">
        <f t="shared" si="467"/>
        <v>-0,0128783580088578-0,0276455472729805i</v>
      </c>
      <c r="BG527" s="68">
        <f t="shared" si="468"/>
        <v>-30.3145710005094</v>
      </c>
      <c r="BH527" s="31">
        <f t="shared" si="469"/>
        <v>-114.977912468428</v>
      </c>
      <c r="BI527" s="30" t="str">
        <f t="shared" si="476"/>
        <v>0,810163638701981+0,0249415895138691i</v>
      </c>
      <c r="BJ527" s="68">
        <f t="shared" si="470"/>
        <v>-1.82443088779573</v>
      </c>
      <c r="BK527" s="31">
        <f t="shared" si="477"/>
        <v>1.76334327099416</v>
      </c>
      <c r="BL527" s="32">
        <f t="shared" si="471"/>
        <v>-30.3145710005094</v>
      </c>
      <c r="BM527" s="31">
        <f t="shared" si="472"/>
        <v>-114.977912468428</v>
      </c>
      <c r="BO527">
        <f t="shared" si="473"/>
        <v>0</v>
      </c>
      <c r="BP527">
        <f t="shared" si="474"/>
        <v>0</v>
      </c>
    </row>
    <row r="528" spans="14:68">
      <c r="N528" s="7">
        <v>10</v>
      </c>
      <c r="O528" s="18">
        <f t="shared" si="478"/>
        <v>1258925.41179417</v>
      </c>
      <c r="P528" s="86" t="str">
        <f t="shared" si="425"/>
        <v>54,5454545454545</v>
      </c>
      <c r="Q528" s="4" t="str">
        <f t="shared" si="426"/>
        <v>1+16107,7619059028i</v>
      </c>
      <c r="R528" s="4">
        <f t="shared" si="437"/>
        <v>16107.7619369437</v>
      </c>
      <c r="S528" s="4">
        <f t="shared" si="438"/>
        <v>1.57073424492377</v>
      </c>
      <c r="T528" s="4" t="str">
        <f t="shared" si="427"/>
        <v>1+124,029766675452i</v>
      </c>
      <c r="U528" s="4">
        <f t="shared" si="439"/>
        <v>124.033797900278</v>
      </c>
      <c r="V528" s="4">
        <f t="shared" si="440"/>
        <v>1.5627339208157</v>
      </c>
      <c r="W528" t="str">
        <f t="shared" si="428"/>
        <v>1-355,952774259907i</v>
      </c>
      <c r="X528" s="4">
        <f t="shared" si="441"/>
        <v>355.954178937858</v>
      </c>
      <c r="Y528" s="4">
        <f t="shared" si="442"/>
        <v>-1.56798697274153</v>
      </c>
      <c r="Z528" t="str">
        <f t="shared" si="429"/>
        <v>-11,9379036119276+24,5776915560412i</v>
      </c>
      <c r="AA528" s="4">
        <f t="shared" si="443"/>
        <v>27.3235514688624</v>
      </c>
      <c r="AB528" s="4">
        <f t="shared" si="444"/>
        <v>2.02295571030521</v>
      </c>
      <c r="AC528" s="67" t="str">
        <f t="shared" si="445"/>
        <v>-4,9093278647184+2,41614060427907i</v>
      </c>
      <c r="AD528" s="68">
        <f t="shared" si="446"/>
        <v>14.7624070645825</v>
      </c>
      <c r="AE528" s="31">
        <f t="shared" si="447"/>
        <v>153.795754981908</v>
      </c>
      <c r="AF528" s="32" t="str">
        <f t="shared" si="448"/>
        <v>432,040091031901</v>
      </c>
      <c r="AG528" s="32" t="str">
        <f t="shared" si="430"/>
        <v>1+13124,8430344393i</v>
      </c>
      <c r="AH528" s="32">
        <f t="shared" si="449"/>
        <v>13124.843072535</v>
      </c>
      <c r="AI528" s="32">
        <f t="shared" si="450"/>
        <v>1.57072013540766</v>
      </c>
      <c r="AJ528" s="32" t="str">
        <f t="shared" si="431"/>
        <v>1+124,029766675452i</v>
      </c>
      <c r="AK528" s="32">
        <f t="shared" si="451"/>
        <v>124.033797900278</v>
      </c>
      <c r="AL528" s="32">
        <f t="shared" si="452"/>
        <v>1.5627339208157</v>
      </c>
      <c r="AM528" s="32" t="str">
        <f t="shared" si="432"/>
        <v>1-36,6164703310692i</v>
      </c>
      <c r="AN528" s="32">
        <f t="shared" si="453"/>
        <v>36.6301228431747</v>
      </c>
      <c r="AO528" s="32">
        <f t="shared" si="454"/>
        <v>-1.54349299886519</v>
      </c>
      <c r="AP528" s="30" t="str">
        <f t="shared" si="455"/>
        <v>2,8888405034003-149,529648633891i</v>
      </c>
      <c r="AQ528" s="32">
        <f t="shared" si="456"/>
        <v>43.4961669305046</v>
      </c>
      <c r="AR528" s="31">
        <f t="shared" si="457"/>
        <v>-88.8932109333712</v>
      </c>
      <c r="AS528" t="str">
        <f t="shared" si="433"/>
        <v>-0,000201496259351621</v>
      </c>
      <c r="AT528" t="str">
        <f t="shared" si="434"/>
        <v>1,77739085280447i</v>
      </c>
      <c r="AU528">
        <f t="shared" si="458"/>
        <v>1.77739085280447</v>
      </c>
      <c r="AV528">
        <f t="shared" si="459"/>
        <v>1.5707963267949</v>
      </c>
      <c r="AW528" t="str">
        <f t="shared" si="435"/>
        <v>1+90,9991516057813i</v>
      </c>
      <c r="AX528">
        <f t="shared" si="460"/>
        <v>91.0046459966301</v>
      </c>
      <c r="AY528">
        <f t="shared" si="461"/>
        <v>1.55980765567288</v>
      </c>
      <c r="AZ528" t="str">
        <f t="shared" si="436"/>
        <v>1+4350,53390762107i</v>
      </c>
      <c r="BA528">
        <f t="shared" si="462"/>
        <v>4350.53402254949</v>
      </c>
      <c r="BB528">
        <f t="shared" si="463"/>
        <v>1.5705664699535</v>
      </c>
      <c r="BC528" s="30" t="str">
        <f t="shared" si="464"/>
        <v>-0,0000583067835285746+0,00541923415349385i</v>
      </c>
      <c r="BD528" s="32">
        <f t="shared" si="465"/>
        <v>-45.3207389583523</v>
      </c>
      <c r="BE528" s="31">
        <f t="shared" si="466"/>
        <v>90.6164346508446</v>
      </c>
      <c r="BF528" s="30" t="str">
        <f t="shared" si="467"/>
        <v>-0,0128073845652735-0,0267456746223693i</v>
      </c>
      <c r="BG528" s="68">
        <f t="shared" si="468"/>
        <v>-30.5583318937698</v>
      </c>
      <c r="BH528" s="31">
        <f t="shared" si="469"/>
        <v>-115.587810367247</v>
      </c>
      <c r="BI528" s="30" t="str">
        <f t="shared" si="476"/>
        <v>0,810167739838837+0,0243738959740234i</v>
      </c>
      <c r="BJ528" s="68">
        <f t="shared" si="470"/>
        <v>-1.82457202784774</v>
      </c>
      <c r="BK528" s="31">
        <f t="shared" si="477"/>
        <v>1.72322371747335</v>
      </c>
      <c r="BL528" s="32">
        <f t="shared" si="471"/>
        <v>-30.5583318937698</v>
      </c>
      <c r="BM528" s="31">
        <f t="shared" si="472"/>
        <v>-115.587810367247</v>
      </c>
      <c r="BO528">
        <f t="shared" si="473"/>
        <v>0</v>
      </c>
      <c r="BP528">
        <f t="shared" si="474"/>
        <v>0</v>
      </c>
    </row>
    <row r="529" spans="14:68">
      <c r="N529" s="7">
        <v>11</v>
      </c>
      <c r="O529" s="18">
        <f t="shared" si="478"/>
        <v>1288249.55169314</v>
      </c>
      <c r="P529" s="86" t="str">
        <f t="shared" si="425"/>
        <v>54,5454545454545</v>
      </c>
      <c r="Q529" s="4" t="str">
        <f t="shared" si="426"/>
        <v>1+16482,9598796373i</v>
      </c>
      <c r="R529" s="4">
        <f t="shared" si="437"/>
        <v>16482.9599099717</v>
      </c>
      <c r="S529" s="4">
        <f t="shared" si="438"/>
        <v>1.57073565807969</v>
      </c>
      <c r="T529" s="4" t="str">
        <f t="shared" si="427"/>
        <v>1+126,918791073207i</v>
      </c>
      <c r="U529" s="4">
        <f t="shared" si="439"/>
        <v>126.922730539035</v>
      </c>
      <c r="V529" s="4">
        <f t="shared" si="440"/>
        <v>1.56291743589819</v>
      </c>
      <c r="W529" t="str">
        <f t="shared" si="428"/>
        <v>1-364,243979483057i</v>
      </c>
      <c r="X529" s="4">
        <f t="shared" si="441"/>
        <v>364.245352186756</v>
      </c>
      <c r="Y529" s="4">
        <f t="shared" si="442"/>
        <v>-1.56805092112203</v>
      </c>
      <c r="Z529" t="str">
        <f t="shared" si="429"/>
        <v>-12,5476482239803+25,1501795357349i</v>
      </c>
      <c r="AA529" s="4">
        <f t="shared" si="443"/>
        <v>28.106494029538</v>
      </c>
      <c r="AB529" s="4">
        <f t="shared" si="444"/>
        <v>2.03357066906562</v>
      </c>
      <c r="AC529" s="67" t="str">
        <f t="shared" si="445"/>
        <v>-4,85823358376392+2,45467359787691i</v>
      </c>
      <c r="AD529" s="68">
        <f t="shared" si="446"/>
        <v>14.7170022557597</v>
      </c>
      <c r="AE529" s="31">
        <f t="shared" si="447"/>
        <v>153.194332344757</v>
      </c>
      <c r="AF529" s="32" t="str">
        <f t="shared" si="448"/>
        <v>432,040091031901</v>
      </c>
      <c r="AG529" s="32" t="str">
        <f t="shared" si="430"/>
        <v>1+13430,5599019267i</v>
      </c>
      <c r="AH529" s="32">
        <f t="shared" si="449"/>
        <v>13430.5599391552</v>
      </c>
      <c r="AI529" s="32">
        <f t="shared" si="450"/>
        <v>1.57072186973537</v>
      </c>
      <c r="AJ529" s="32" t="str">
        <f t="shared" si="431"/>
        <v>1+126,918791073207i</v>
      </c>
      <c r="AK529" s="32">
        <f t="shared" si="451"/>
        <v>126.922730539035</v>
      </c>
      <c r="AL529" s="32">
        <f t="shared" si="452"/>
        <v>1.56291743589819</v>
      </c>
      <c r="AM529" s="32" t="str">
        <f t="shared" si="432"/>
        <v>1-37,4693774918393i</v>
      </c>
      <c r="AN529" s="32">
        <f t="shared" si="453"/>
        <v>37.482719346733</v>
      </c>
      <c r="AO529" s="32">
        <f t="shared" si="454"/>
        <v>-1.54411420011713</v>
      </c>
      <c r="AP529" s="30" t="str">
        <f t="shared" si="455"/>
        <v>2,88884039127431-153,011135670739i</v>
      </c>
      <c r="AQ529" s="32">
        <f t="shared" si="456"/>
        <v>43.6960085465669</v>
      </c>
      <c r="AR529" s="31">
        <f t="shared" si="457"/>
        <v>-88.9183878732893</v>
      </c>
      <c r="AS529" t="str">
        <f t="shared" si="433"/>
        <v>-0,000201496259351621</v>
      </c>
      <c r="AT529" t="str">
        <f t="shared" si="434"/>
        <v>1,81879160421873i</v>
      </c>
      <c r="AU529">
        <f t="shared" si="458"/>
        <v>1.81879160421873</v>
      </c>
      <c r="AV529">
        <f t="shared" si="459"/>
        <v>1.5707963267949</v>
      </c>
      <c r="AW529" t="str">
        <f t="shared" si="435"/>
        <v>1+93,1187941416903i</v>
      </c>
      <c r="AX529">
        <f t="shared" si="460"/>
        <v>93.1241634722293</v>
      </c>
      <c r="AY529">
        <f t="shared" si="461"/>
        <v>1.5600577689125</v>
      </c>
      <c r="AZ529" t="str">
        <f t="shared" si="436"/>
        <v>1+4451,87086034846i</v>
      </c>
      <c r="BA529">
        <f t="shared" si="462"/>
        <v>4451.87097266079</v>
      </c>
      <c r="BB529">
        <f t="shared" si="463"/>
        <v>1.57057170213382</v>
      </c>
      <c r="BC529" s="30" t="str">
        <f t="shared" si="464"/>
        <v>-0,0000556828485911305+0,00529590550222949i</v>
      </c>
      <c r="BD529" s="32">
        <f t="shared" si="465"/>
        <v>-45.5207153670265</v>
      </c>
      <c r="BE529" s="31">
        <f t="shared" si="466"/>
        <v>90.6024039996637</v>
      </c>
      <c r="BF529" s="30" t="str">
        <f t="shared" si="467"/>
        <v>-0,0127291991281087-0,0258654291856627i</v>
      </c>
      <c r="BG529" s="68">
        <f t="shared" si="468"/>
        <v>-30.8037131112667</v>
      </c>
      <c r="BH529" s="31">
        <f t="shared" si="469"/>
        <v>-116.20326365558</v>
      </c>
      <c r="BI529" s="30" t="str">
        <f t="shared" si="476"/>
        <v>0,810171656438938+0,0238191216235231i</v>
      </c>
      <c r="BJ529" s="68">
        <f t="shared" si="470"/>
        <v>-1.82470682045955</v>
      </c>
      <c r="BK529" s="31">
        <f t="shared" si="477"/>
        <v>1.68401612637442</v>
      </c>
      <c r="BL529" s="32">
        <f t="shared" si="471"/>
        <v>-30.8037131112667</v>
      </c>
      <c r="BM529" s="31">
        <f t="shared" si="472"/>
        <v>-116.20326365558</v>
      </c>
      <c r="BO529">
        <f t="shared" si="473"/>
        <v>0</v>
      </c>
      <c r="BP529">
        <f t="shared" si="474"/>
        <v>0</v>
      </c>
    </row>
    <row r="530" spans="14:68">
      <c r="N530" s="7">
        <v>12</v>
      </c>
      <c r="O530" s="18">
        <f t="shared" si="478"/>
        <v>1318256.73855641</v>
      </c>
      <c r="P530" s="86" t="str">
        <f t="shared" si="425"/>
        <v>54,5454545454545</v>
      </c>
      <c r="Q530" s="4" t="str">
        <f t="shared" si="426"/>
        <v>1+16866,8973368776i</v>
      </c>
      <c r="R530" s="4">
        <f t="shared" si="437"/>
        <v>16866.8973665215</v>
      </c>
      <c r="S530" s="4">
        <f t="shared" si="438"/>
        <v>1.57073703906824</v>
      </c>
      <c r="T530" s="4" t="str">
        <f t="shared" si="427"/>
        <v>1+129,875109493958i</v>
      </c>
      <c r="U530" s="4">
        <f t="shared" si="439"/>
        <v>129.878959289284</v>
      </c>
      <c r="V530" s="4">
        <f t="shared" si="440"/>
        <v>1.56309677418022</v>
      </c>
      <c r="W530" t="str">
        <f t="shared" si="428"/>
        <v>1-372,728311685466i</v>
      </c>
      <c r="X530" s="4">
        <f t="shared" si="441"/>
        <v>372.729653142727</v>
      </c>
      <c r="Y530" s="4">
        <f t="shared" si="442"/>
        <v>-1.56811341388137</v>
      </c>
      <c r="Z530" t="str">
        <f t="shared" si="429"/>
        <v>-13,1861292142808+25,7360024735202i</v>
      </c>
      <c r="AA530" s="4">
        <f t="shared" si="443"/>
        <v>28.9173966147153</v>
      </c>
      <c r="AB530" s="4">
        <f t="shared" si="444"/>
        <v>2.04428392619928</v>
      </c>
      <c r="AC530" s="67" t="str">
        <f t="shared" si="445"/>
        <v>-4,80583634363157+2,4924793496664i</v>
      </c>
      <c r="AD530" s="68">
        <f t="shared" si="446"/>
        <v>14.6699383304305</v>
      </c>
      <c r="AE530" s="31">
        <f t="shared" si="447"/>
        <v>152.587123556649</v>
      </c>
      <c r="AF530" s="32" t="str">
        <f t="shared" si="448"/>
        <v>432,040091031901</v>
      </c>
      <c r="AG530" s="32" t="str">
        <f t="shared" si="430"/>
        <v>1+13743,3978300484i</v>
      </c>
      <c r="AH530" s="32">
        <f t="shared" si="449"/>
        <v>13743.3978664295</v>
      </c>
      <c r="AI530" s="32">
        <f t="shared" si="450"/>
        <v>1.57072356458495</v>
      </c>
      <c r="AJ530" s="32" t="str">
        <f t="shared" si="431"/>
        <v>1+129,875109493958i</v>
      </c>
      <c r="AK530" s="32">
        <f t="shared" si="451"/>
        <v>129.878959289284</v>
      </c>
      <c r="AL530" s="32">
        <f t="shared" si="452"/>
        <v>1.56309677418022</v>
      </c>
      <c r="AM530" s="32" t="str">
        <f t="shared" si="432"/>
        <v>1-38,3421514125213i</v>
      </c>
      <c r="AN530" s="32">
        <f t="shared" si="453"/>
        <v>38.3551896741589</v>
      </c>
      <c r="AO530" s="32">
        <f t="shared" si="454"/>
        <v>-1.54472128100611</v>
      </c>
      <c r="AP530" s="30" t="str">
        <f t="shared" si="455"/>
        <v>2,88884028419487-156,573751237063i</v>
      </c>
      <c r="AQ530" s="32">
        <f t="shared" si="456"/>
        <v>43.8958572864843</v>
      </c>
      <c r="AR530" s="31">
        <f t="shared" si="457"/>
        <v>-88.9429928271138</v>
      </c>
      <c r="AS530" t="str">
        <f t="shared" si="433"/>
        <v>-0,000201496259351621</v>
      </c>
      <c r="AT530" t="str">
        <f t="shared" si="434"/>
        <v>1,86115670301609i</v>
      </c>
      <c r="AU530">
        <f t="shared" si="458"/>
        <v>1.86115670301609</v>
      </c>
      <c r="AV530">
        <f t="shared" si="459"/>
        <v>1.5707963267949</v>
      </c>
      <c r="AW530" t="str">
        <f t="shared" si="435"/>
        <v>1+95,2878094948255i</v>
      </c>
      <c r="AX530">
        <f t="shared" si="460"/>
        <v>95.2930566112881</v>
      </c>
      <c r="AY530">
        <f t="shared" si="461"/>
        <v>1.56030219017801</v>
      </c>
      <c r="AZ530" t="str">
        <f t="shared" si="436"/>
        <v>1+4555,56825393346i</v>
      </c>
      <c r="BA530">
        <f t="shared" si="462"/>
        <v>4555.56836368925</v>
      </c>
      <c r="BB530">
        <f t="shared" si="463"/>
        <v>1.57057681521518</v>
      </c>
      <c r="BC530" s="30" t="str">
        <f t="shared" si="464"/>
        <v>-0,0000531769835565027+0,00517538227329875i</v>
      </c>
      <c r="BD530" s="32">
        <f t="shared" si="465"/>
        <v>-45.7206928373654</v>
      </c>
      <c r="BE530" s="31">
        <f t="shared" si="466"/>
        <v>90.5886926507092</v>
      </c>
      <c r="BF530" s="30" t="str">
        <f t="shared" si="467"/>
        <v>-0,0126439735626061-0,0250045827545978i</v>
      </c>
      <c r="BG530" s="68">
        <f t="shared" si="468"/>
        <v>-31.0507545069349</v>
      </c>
      <c r="BH530" s="31">
        <f t="shared" si="469"/>
        <v>-116.824183792642</v>
      </c>
      <c r="BI530" s="30" t="str">
        <f t="shared" si="476"/>
        <v>0,810175396803894+0,0232769725921267i</v>
      </c>
      <c r="BJ530" s="68">
        <f t="shared" si="470"/>
        <v>-1.8248355508811</v>
      </c>
      <c r="BK530" s="31">
        <f t="shared" si="477"/>
        <v>1.64569982359546</v>
      </c>
      <c r="BL530" s="32">
        <f t="shared" si="471"/>
        <v>-31.0507545069349</v>
      </c>
      <c r="BM530" s="31">
        <f t="shared" si="472"/>
        <v>-116.824183792642</v>
      </c>
      <c r="BO530">
        <f t="shared" si="473"/>
        <v>0</v>
      </c>
      <c r="BP530">
        <f t="shared" si="474"/>
        <v>0</v>
      </c>
    </row>
    <row r="531" spans="14:68">
      <c r="N531" s="7">
        <v>13</v>
      </c>
      <c r="O531" s="18">
        <f t="shared" si="478"/>
        <v>1348962.88259166</v>
      </c>
      <c r="P531" s="86" t="str">
        <f t="shared" ref="P531:P560" si="479">COMPLEX(Adc,0)</f>
        <v>54,5454545454545</v>
      </c>
      <c r="Q531" s="4" t="str">
        <f t="shared" ref="Q531:Q560" si="480">IMSUM(COMPLEX(1,0),IMDIV(COMPLEX(0,2*PI()*O531),COMPLEX(wp_lf,0)))</f>
        <v>1+17259,7778463458i</v>
      </c>
      <c r="R531" s="4">
        <f t="shared" si="437"/>
        <v>17259.7778753149</v>
      </c>
      <c r="S531" s="4">
        <f t="shared" si="438"/>
        <v>1.57073838862166</v>
      </c>
      <c r="T531" s="4" t="str">
        <f t="shared" ref="T531:T560" si="481">IMSUM(COMPLEX(1,0),IMDIV(COMPLEX(0,2*PI()*O531),COMPLEX(wz_esr,0)))</f>
        <v>1+132,900289416863i</v>
      </c>
      <c r="U531" s="4">
        <f t="shared" si="439"/>
        <v>132.904051582658</v>
      </c>
      <c r="V531" s="4">
        <f t="shared" si="440"/>
        <v>1.56327203070315</v>
      </c>
      <c r="W531" t="str">
        <f t="shared" ref="W531:W560" si="482">IMSUB(COMPLEX(1,0),IMDIV(COMPLEX(0,2*PI()*O531),COMPLEX(wz_rhp,0)))</f>
        <v>1-381,410269372375i</v>
      </c>
      <c r="X531" s="4">
        <f t="shared" si="441"/>
        <v>381.411580294447</v>
      </c>
      <c r="Y531" s="4">
        <f t="shared" si="442"/>
        <v>-1.56817448415209</v>
      </c>
      <c r="Z531" t="str">
        <f t="shared" ref="Z531:Z560" si="483">IMSUM(COMPLEX(1,0),IMDIV(COMPLEX(0,2*PI()*O531),COMPLEX(Q*(wsl/2),0)),IMDIV(IMPOWER(COMPLEX(0,2*PI()*O531),2),IMPOWER(COMPLEX(wsl/2,0),2)))</f>
        <v>-13,8547008866123+26,3354709804735i</v>
      </c>
      <c r="AA531" s="4">
        <f t="shared" si="443"/>
        <v>29.7575161668587</v>
      </c>
      <c r="AB531" s="4">
        <f t="shared" si="444"/>
        <v>2.05509364983286</v>
      </c>
      <c r="AC531" s="67" t="str">
        <f t="shared" si="445"/>
        <v>-4,75214647921341+2,52950265424962i</v>
      </c>
      <c r="AD531" s="68">
        <f t="shared" si="446"/>
        <v>14.6211756036919</v>
      </c>
      <c r="AE531" s="31">
        <f t="shared" si="447"/>
        <v>151.974237081356</v>
      </c>
      <c r="AF531" s="32" t="str">
        <f t="shared" si="448"/>
        <v>432,040091031901</v>
      </c>
      <c r="AG531" s="32" t="str">
        <f t="shared" ref="AG531:AG560" si="484">IMSUM(COMPLEX(1,0),IMDIV(COMPLEX(0,2*PI()*O531),COMPLEX(wp_lf_DCM,0)))</f>
        <v>1+14063,5226896151i</v>
      </c>
      <c r="AH531" s="32">
        <f t="shared" si="449"/>
        <v>14063.5227251681</v>
      </c>
      <c r="AI531" s="32">
        <f t="shared" si="450"/>
        <v>1.57072522085506</v>
      </c>
      <c r="AJ531" s="32" t="str">
        <f t="shared" ref="AJ531:AJ560" si="485">IMSUM(COMPLEX(1,0),IMDIV(COMPLEX(0,2*PI()*O531),COMPLEX(wz1_dcm,0)))</f>
        <v>1+132,900289416863i</v>
      </c>
      <c r="AK531" s="32">
        <f t="shared" si="451"/>
        <v>132.904051582658</v>
      </c>
      <c r="AL531" s="32">
        <f t="shared" si="452"/>
        <v>1.56327203070315</v>
      </c>
      <c r="AM531" s="32" t="str">
        <f t="shared" ref="AM531:AM560" si="486">IMSUB(COMPLEX(1,0),IMDIV(COMPLEX(0,2*PI()*O531),COMPLEX(wz2_dcm,0)))</f>
        <v>1-39,2352548494008i</v>
      </c>
      <c r="AN531" s="32">
        <f t="shared" si="453"/>
        <v>39.2479964214408</v>
      </c>
      <c r="AO531" s="32">
        <f t="shared" si="454"/>
        <v>-1.54531456162352</v>
      </c>
      <c r="AP531" s="30" t="str">
        <f t="shared" si="455"/>
        <v>2,88884018193476-160,21938427879i</v>
      </c>
      <c r="AQ531" s="32">
        <f t="shared" si="456"/>
        <v>44.0957128300344</v>
      </c>
      <c r="AR531" s="31">
        <f t="shared" si="457"/>
        <v>-88.9670387407497</v>
      </c>
      <c r="AS531" t="str">
        <f t="shared" ref="AS531:AS560" si="487">COMPLEX(Adc_ea,0)</f>
        <v>-0,000201496259351621</v>
      </c>
      <c r="AT531" t="str">
        <f t="shared" ref="AT531:AT560" si="488">COMPLEX(0,2*PI()*O531*wp0_ea)</f>
        <v>1,90450861173272i</v>
      </c>
      <c r="AU531">
        <f t="shared" si="458"/>
        <v>1.90450861173272</v>
      </c>
      <c r="AV531">
        <f t="shared" si="459"/>
        <v>1.5707963267949</v>
      </c>
      <c r="AW531" t="str">
        <f t="shared" ref="AW531:AW560" si="489">IMSUM(COMPLEX(1,0),IMDIV(COMPLEX(0,2*PI()*O531),COMPLEX(wp1_ea,0)))</f>
        <v>1+97,5073477058387i</v>
      </c>
      <c r="AX531">
        <f t="shared" si="460"/>
        <v>97.5124753897024</v>
      </c>
      <c r="AY531">
        <f t="shared" si="461"/>
        <v>1.56054104894791</v>
      </c>
      <c r="AZ531" t="str">
        <f t="shared" ref="AZ531:AZ560" si="490">IMSUM(COMPLEX(1,0),IMDIV(COMPLEX(0,2*PI()*O531),COMPLEX(wz_ea,0)))</f>
        <v>1+4661,68107010679i</v>
      </c>
      <c r="BA531">
        <f t="shared" si="462"/>
        <v>4661.68117736423</v>
      </c>
      <c r="BB531">
        <f t="shared" si="463"/>
        <v>1.57058181190861</v>
      </c>
      <c r="BC531" s="30" t="str">
        <f t="shared" si="464"/>
        <v>-0,000050783876745867+0,00505760073297811i</v>
      </c>
      <c r="BD531" s="32">
        <f t="shared" si="465"/>
        <v>-45.9206713215969</v>
      </c>
      <c r="BE531" s="31">
        <f t="shared" si="466"/>
        <v>90.5752933407395</v>
      </c>
      <c r="BF531" s="30" t="str">
        <f t="shared" si="467"/>
        <v>-0,0125518820571243-0,0241629174675108i</v>
      </c>
      <c r="BG531" s="68">
        <f t="shared" si="468"/>
        <v>-31.2994957179051</v>
      </c>
      <c r="BH531" s="31">
        <f t="shared" si="469"/>
        <v>-117.450469577904</v>
      </c>
      <c r="BI531" s="30" t="str">
        <f t="shared" si="476"/>
        <v>0,810178968861972+0,0227471616851226i</v>
      </c>
      <c r="BJ531" s="68">
        <f t="shared" si="470"/>
        <v>-1.82495849156254</v>
      </c>
      <c r="BK531" s="31">
        <f t="shared" si="477"/>
        <v>1.6082545999898</v>
      </c>
      <c r="BL531" s="32">
        <f t="shared" si="471"/>
        <v>-31.2994957179051</v>
      </c>
      <c r="BM531" s="31">
        <f t="shared" si="472"/>
        <v>-117.450469577904</v>
      </c>
      <c r="BO531">
        <f t="shared" si="473"/>
        <v>0</v>
      </c>
      <c r="BP531">
        <f t="shared" si="474"/>
        <v>0</v>
      </c>
    </row>
    <row r="532" spans="14:68">
      <c r="N532" s="7">
        <v>14</v>
      </c>
      <c r="O532" s="18">
        <f t="shared" si="478"/>
        <v>1380384.26460288</v>
      </c>
      <c r="P532" s="86" t="str">
        <f t="shared" si="479"/>
        <v>54,5454545454545</v>
      </c>
      <c r="Q532" s="4" t="str">
        <f t="shared" si="480"/>
        <v>1+17661,8097184881i</v>
      </c>
      <c r="R532" s="4">
        <f t="shared" ref="R532:R560" si="491">IMABS(Q532)</f>
        <v>17661.8097467978</v>
      </c>
      <c r="S532" s="4">
        <f t="shared" ref="S532:S560" si="492">IMARGUMENT(Q532)</f>
        <v>1.57073970745549</v>
      </c>
      <c r="T532" s="4" t="str">
        <f t="shared" si="481"/>
        <v>1+135,995934832359i</v>
      </c>
      <c r="U532" s="4">
        <f t="shared" ref="U532:U560" si="493">IMABS(T532)</f>
        <v>135.999611363148</v>
      </c>
      <c r="V532" s="4">
        <f t="shared" ref="V532:V560" si="494">IMARGUMENT(T532)</f>
        <v>1.56344329834721</v>
      </c>
      <c r="W532" t="str">
        <f t="shared" si="482"/>
        <v>1-390,294455832662i</v>
      </c>
      <c r="X532" s="4">
        <f t="shared" ref="X532:X560" si="495">IMABS(W532)</f>
        <v>390.295736914604</v>
      </c>
      <c r="Y532" s="4">
        <f t="shared" ref="Y532:Y560" si="496">IMARGUMENT(W532)</f>
        <v>-1.56823416431262</v>
      </c>
      <c r="Z532" t="str">
        <f t="shared" si="483"/>
        <v>-14,5547813711285+26,9489029027314i</v>
      </c>
      <c r="AA532" s="4">
        <f t="shared" ref="AA532:AA560" si="497">IMABS(Z532)</f>
        <v>30.6281737689695</v>
      </c>
      <c r="AB532" s="4">
        <f t="shared" ref="AB532:AB560" si="498">IMARGUMENT(Z532)</f>
        <v>2.06599778638446</v>
      </c>
      <c r="AC532" s="67" t="str">
        <f t="shared" ref="AC532:AC560" si="499">(IMDIV(IMPRODUCT(P532,T532,W532),IMPRODUCT(Q532,Z532)))</f>
        <v>-4,69717751662871+2,5656876564134i</v>
      </c>
      <c r="AD532" s="68">
        <f t="shared" ref="AD532:AD560" si="500">20*LOG(IMABS(AC532))</f>
        <v>14.5706747110165</v>
      </c>
      <c r="AE532" s="31">
        <f t="shared" ref="AE532:AE560" si="501">(180/PI())*IMARGUMENT(AC532)</f>
        <v>151.355794005955</v>
      </c>
      <c r="AF532" s="32" t="str">
        <f t="shared" ref="AF532:AF560" si="502">COMPLEX($B$68,0)</f>
        <v>432,040091031901</v>
      </c>
      <c r="AG532" s="32" t="str">
        <f t="shared" si="484"/>
        <v>1+14391,1042150644i</v>
      </c>
      <c r="AH532" s="32">
        <f t="shared" ref="AH532:AH560" si="503">IMABS(AG532)</f>
        <v>14391.1042498081</v>
      </c>
      <c r="AI532" s="32">
        <f t="shared" ref="AI532:AI560" si="504">IMARGUMENT(AG532)</f>
        <v>1.57072683942385</v>
      </c>
      <c r="AJ532" s="32" t="str">
        <f t="shared" si="485"/>
        <v>1+135,995934832359i</v>
      </c>
      <c r="AK532" s="32">
        <f t="shared" ref="AK532:AK560" si="505">IMABS(AJ532)</f>
        <v>135.999611363148</v>
      </c>
      <c r="AL532" s="32">
        <f t="shared" ref="AL532:AL560" si="506">IMARGUMENT(AJ532)</f>
        <v>1.56344329834721</v>
      </c>
      <c r="AM532" s="32" t="str">
        <f t="shared" si="486"/>
        <v>1-40,1491613377409i</v>
      </c>
      <c r="AN532" s="32">
        <f t="shared" ref="AN532:AN560" si="507">IMABS(AM532)</f>
        <v>40.1616129671599</v>
      </c>
      <c r="AO532" s="32">
        <f t="shared" ref="AO532:AO560" si="508">IMARGUMENT(AM532)</f>
        <v>-1.54589435486307</v>
      </c>
      <c r="AP532" s="30" t="str">
        <f t="shared" ref="AP532:AP560" si="509">(IMDIV(IMPRODUCT(AF532,AJ532,AM532),IMPRODUCT(AG532)))</f>
        <v>2,88884008427713-163,949967758813i</v>
      </c>
      <c r="AQ532" s="32">
        <f t="shared" ref="AQ532:AQ560" si="510">20*LOG(IMABS(AP532))</f>
        <v>44.2955748713719</v>
      </c>
      <c r="AR532" s="31">
        <f t="shared" ref="AR532:AR560" si="511">(180/PI())*IMARGUMENT(AP532)</f>
        <v>-88.9905382703547</v>
      </c>
      <c r="AS532" t="str">
        <f t="shared" si="487"/>
        <v>-0,000201496259351621</v>
      </c>
      <c r="AT532" t="str">
        <f t="shared" si="488"/>
        <v>1,94887031612443i</v>
      </c>
      <c r="AU532">
        <f t="shared" ref="AU532:AU560" si="512">IMABS(AT532)</f>
        <v>1.94887031612443</v>
      </c>
      <c r="AV532">
        <f t="shared" ref="AV532:AV560" si="513">IMARGUMENT(AT532)</f>
        <v>1.5707963267949</v>
      </c>
      <c r="AW532" t="str">
        <f t="shared" si="489"/>
        <v>1+99,7785856032667i</v>
      </c>
      <c r="AX532">
        <f t="shared" ref="AX532:AX560" si="514">IMABS(AW532)</f>
        <v>99.7835965727254</v>
      </c>
      <c r="AY532">
        <f t="shared" ref="AY532:AY560" si="515">IMARGUMENT(AW532)</f>
        <v>1.5607744717592</v>
      </c>
      <c r="AZ532" t="str">
        <f t="shared" si="490"/>
        <v>1+4770,26557128809i</v>
      </c>
      <c r="BA532">
        <f t="shared" ref="BA532:BA560" si="516">IMABS(AZ532)</f>
        <v>4770.26567610406</v>
      </c>
      <c r="BB532">
        <f t="shared" ref="BB532:BB560" si="517">IMARGUMENT(AZ532)</f>
        <v>1.57058669486342</v>
      </c>
      <c r="BC532" s="30" t="str">
        <f t="shared" ref="BC532:BC560" si="518">IMPRODUCT(AS532,IMDIV(AZ532,IMPRODUCT(AT532,AW532)))</f>
        <v>-0,0000484984553392921+0,0049424985899285i</v>
      </c>
      <c r="BD532" s="32">
        <f t="shared" ref="BD532:BD560" si="519">20*LOG(IMABS(BC532))</f>
        <v>-46.120650774098</v>
      </c>
      <c r="BE532" s="31">
        <f t="shared" ref="BE532:BE560" si="520">(180/PI())*IMARGUMENT(BC532)</f>
        <v>90.5621989715129</v>
      </c>
      <c r="BF532" s="30" t="str">
        <f t="shared" ref="BF532:BF560" si="521">IMPRODUCT(AC532,BC532)</f>
        <v>-0,0124531017700092-0,0233402251408004i</v>
      </c>
      <c r="BG532" s="68">
        <f t="shared" ref="BG532:BG560" si="522">20*LOG(IMABS(BF532))</f>
        <v>-31.5499760630815</v>
      </c>
      <c r="BH532" s="31">
        <f t="shared" ref="BH532:BH560" si="523">(180/PI())*IMARGUMENT(BF532)</f>
        <v>-118.082007022532</v>
      </c>
      <c r="BI532" s="30" t="str">
        <f t="shared" si="476"/>
        <v>0,810182380184947+0,0222294082322978i</v>
      </c>
      <c r="BJ532" s="68">
        <f t="shared" ref="BJ532:BJ560" si="524">20*LOG(IMABS(BI532))</f>
        <v>-1.82507590272606</v>
      </c>
      <c r="BK532" s="31">
        <f t="shared" si="477"/>
        <v>1.5716607011582</v>
      </c>
      <c r="BL532" s="32">
        <f t="shared" ref="BL532:BL560" si="525">IF($B$31=0,BJ532,BG532)</f>
        <v>-31.5499760630815</v>
      </c>
      <c r="BM532" s="31">
        <f t="shared" ref="BM532:BM560" si="526">IF($B$31=0,BK532,BH532)</f>
        <v>-118.082007022532</v>
      </c>
      <c r="BO532">
        <f t="shared" ref="BO532:BO559" si="527">SUM((BL533&lt;0)*(BL532&gt;0))*O532</f>
        <v>0</v>
      </c>
      <c r="BP532">
        <f t="shared" ref="BP532:BP559" si="528">IF(BO532&gt;0,BM532,0)</f>
        <v>0</v>
      </c>
    </row>
    <row r="533" spans="14:68">
      <c r="N533" s="7">
        <v>15</v>
      </c>
      <c r="O533" s="18">
        <f t="shared" si="478"/>
        <v>1412537.54462276</v>
      </c>
      <c r="P533" s="86" t="str">
        <f t="shared" si="479"/>
        <v>54,5454545454545</v>
      </c>
      <c r="Q533" s="4" t="str">
        <f t="shared" si="480"/>
        <v>1+18073,2061159252i</v>
      </c>
      <c r="R533" s="4">
        <f t="shared" si="491"/>
        <v>18073.2061435905</v>
      </c>
      <c r="S533" s="4">
        <f t="shared" si="492"/>
        <v>1.570740996269</v>
      </c>
      <c r="T533" s="4" t="str">
        <f t="shared" si="481"/>
        <v>1+139,163687092624i</v>
      </c>
      <c r="U533" s="4">
        <f t="shared" si="493"/>
        <v>139.167279937541</v>
      </c>
      <c r="V533" s="4">
        <f t="shared" si="494"/>
        <v>1.56361066788056</v>
      </c>
      <c r="W533" t="str">
        <f t="shared" si="482"/>
        <v>1-399,385581579597i</v>
      </c>
      <c r="X533" s="4">
        <f t="shared" si="495"/>
        <v>399.386833500646</v>
      </c>
      <c r="Y533" s="4">
        <f t="shared" si="496"/>
        <v>-1.56829248600449</v>
      </c>
      <c r="Z533" t="str">
        <f t="shared" si="483"/>
        <v>-15,2878556323992+27,5766234900198i</v>
      </c>
      <c r="AA533" s="4">
        <f t="shared" si="497"/>
        <v>31.5307578872978</v>
      </c>
      <c r="AB533" s="4">
        <f t="shared" si="498"/>
        <v>2.07699405898608</v>
      </c>
      <c r="AC533" s="67" t="str">
        <f t="shared" si="499"/>
        <v>-4,6409462818743+2,60097805318569i</v>
      </c>
      <c r="AD533" s="68">
        <f t="shared" si="500"/>
        <v>14.5183967130769</v>
      </c>
      <c r="AE533" s="31">
        <f t="shared" si="501"/>
        <v>150.731928133014</v>
      </c>
      <c r="AF533" s="32" t="str">
        <f t="shared" si="502"/>
        <v>432,040091031901</v>
      </c>
      <c r="AG533" s="32" t="str">
        <f t="shared" si="484"/>
        <v>1+14726,3160944575i</v>
      </c>
      <c r="AH533" s="32">
        <f t="shared" si="503"/>
        <v>14726.3161284103</v>
      </c>
      <c r="AI533" s="32">
        <f t="shared" si="504"/>
        <v>1.57072842114952</v>
      </c>
      <c r="AJ533" s="32" t="str">
        <f t="shared" si="485"/>
        <v>1+139,163687092624i</v>
      </c>
      <c r="AK533" s="32">
        <f t="shared" si="505"/>
        <v>139.167279937541</v>
      </c>
      <c r="AL533" s="32">
        <f t="shared" si="506"/>
        <v>1.56361066788056</v>
      </c>
      <c r="AM533" s="32" t="str">
        <f t="shared" si="486"/>
        <v>1-41,08435544286i</v>
      </c>
      <c r="AN533" s="32">
        <f t="shared" si="507"/>
        <v>41.0965237234886</v>
      </c>
      <c r="AO533" s="32">
        <f t="shared" si="508"/>
        <v>-1.54646096657867</v>
      </c>
      <c r="AP533" s="30" t="str">
        <f t="shared" si="509"/>
        <v>2,88883999101481-167,767479681879i</v>
      </c>
      <c r="AQ533" s="32">
        <f t="shared" si="510"/>
        <v>44.4954431183847</v>
      </c>
      <c r="AR533" s="31">
        <f t="shared" si="511"/>
        <v>-89.0135037886062</v>
      </c>
      <c r="AS533" t="str">
        <f t="shared" si="487"/>
        <v>-0,000201496259351621</v>
      </c>
      <c r="AT533" t="str">
        <f t="shared" si="488"/>
        <v>1,99426533735412i</v>
      </c>
      <c r="AU533">
        <f t="shared" si="512"/>
        <v>1.99426533735412</v>
      </c>
      <c r="AV533">
        <f t="shared" si="513"/>
        <v>1.5707963267949</v>
      </c>
      <c r="AW533" t="str">
        <f t="shared" si="489"/>
        <v>1+102,102727427509i</v>
      </c>
      <c r="AX533">
        <f t="shared" si="514"/>
        <v>102.107624338911</v>
      </c>
      <c r="AY533">
        <f t="shared" si="515"/>
        <v>1.56100258227394</v>
      </c>
      <c r="AZ533" t="str">
        <f t="shared" si="490"/>
        <v>1+4881,37933041729i</v>
      </c>
      <c r="BA533">
        <f t="shared" si="516"/>
        <v>4881.37943284735</v>
      </c>
      <c r="BB533">
        <f t="shared" si="517"/>
        <v>1.57059146666862</v>
      </c>
      <c r="BC533" s="30" t="str">
        <f t="shared" si="518"/>
        <v>-0,0000463158746434374+0,0048300149629209i</v>
      </c>
      <c r="BD533" s="32">
        <f t="shared" si="519"/>
        <v>-46.320631151298</v>
      </c>
      <c r="BE533" s="31">
        <f t="shared" si="520"/>
        <v>90.5494026060545</v>
      </c>
      <c r="BF533" s="30" t="str">
        <f t="shared" si="521"/>
        <v>-0,0123478134288975-0,0225363065570267i</v>
      </c>
      <c r="BG533" s="68">
        <f t="shared" si="522"/>
        <v>-31.8022344382211</v>
      </c>
      <c r="BH533" s="31">
        <f t="shared" si="523"/>
        <v>-118.718669260931</v>
      </c>
      <c r="BI533" s="30" t="str">
        <f t="shared" si="476"/>
        <v>0,810185638004115+0,0217234379402771i</v>
      </c>
      <c r="BJ533" s="68">
        <f t="shared" si="524"/>
        <v>-1.82518803291332</v>
      </c>
      <c r="BK533" s="31">
        <f t="shared" si="477"/>
        <v>1.53589881744831</v>
      </c>
      <c r="BL533" s="32">
        <f t="shared" si="525"/>
        <v>-31.8022344382211</v>
      </c>
      <c r="BM533" s="31">
        <f t="shared" si="526"/>
        <v>-118.718669260931</v>
      </c>
      <c r="BO533">
        <f t="shared" si="527"/>
        <v>0</v>
      </c>
      <c r="BP533">
        <f t="shared" si="528"/>
        <v>0</v>
      </c>
    </row>
    <row r="534" spans="14:68">
      <c r="N534" s="7">
        <v>16</v>
      </c>
      <c r="O534" s="18">
        <f t="shared" si="478"/>
        <v>1445439.77074593</v>
      </c>
      <c r="P534" s="86" t="str">
        <f t="shared" si="479"/>
        <v>54,5454545454545</v>
      </c>
      <c r="Q534" s="4" t="str">
        <f t="shared" si="480"/>
        <v>1+18494,1851664718i</v>
      </c>
      <c r="R534" s="4">
        <f t="shared" si="491"/>
        <v>18494.1851935073</v>
      </c>
      <c r="S534" s="4">
        <f t="shared" si="492"/>
        <v>1.57074225574554</v>
      </c>
      <c r="T534" s="4" t="str">
        <f t="shared" si="481"/>
        <v>1+142,405225781833i</v>
      </c>
      <c r="U534" s="4">
        <f t="shared" si="493"/>
        <v>142.408736845654</v>
      </c>
      <c r="V534" s="4">
        <f t="shared" si="494"/>
        <v>1.56377422800721</v>
      </c>
      <c r="W534" t="str">
        <f t="shared" si="482"/>
        <v>1-408,688466848374i</v>
      </c>
      <c r="X534" s="4">
        <f t="shared" si="495"/>
        <v>408.689690272307</v>
      </c>
      <c r="Y534" s="4">
        <f t="shared" si="496"/>
        <v>-1.56834948014903</v>
      </c>
      <c r="Z534" t="str">
        <f t="shared" si="483"/>
        <v>-16,0554786192168+28,218965568102i</v>
      </c>
      <c r="AA534" s="4">
        <f t="shared" si="497"/>
        <v>32.466727759752</v>
      </c>
      <c r="AB534" s="4">
        <f t="shared" si="498"/>
        <v>2.08807996665744</v>
      </c>
      <c r="AC534" s="67" t="str">
        <f t="shared" si="499"/>
        <v>-4,58347299584474+2,63531730949482i</v>
      </c>
      <c r="AD534" s="68">
        <f t="shared" si="500"/>
        <v>14.4643032036792</v>
      </c>
      <c r="AE534" s="31">
        <f t="shared" si="501"/>
        <v>150.102786029699</v>
      </c>
      <c r="AF534" s="32" t="str">
        <f t="shared" si="502"/>
        <v>432,040091031901</v>
      </c>
      <c r="AG534" s="32" t="str">
        <f t="shared" si="484"/>
        <v>1+15069,3360615697i</v>
      </c>
      <c r="AH534" s="32">
        <f t="shared" si="503"/>
        <v>15069.3360947497</v>
      </c>
      <c r="AI534" s="32">
        <f t="shared" si="504"/>
        <v>1.57072996687071</v>
      </c>
      <c r="AJ534" s="32" t="str">
        <f t="shared" si="485"/>
        <v>1+142,405225781833i</v>
      </c>
      <c r="AK534" s="32">
        <f t="shared" si="505"/>
        <v>142.408736845654</v>
      </c>
      <c r="AL534" s="32">
        <f t="shared" si="506"/>
        <v>1.56377422800721</v>
      </c>
      <c r="AM534" s="32" t="str">
        <f t="shared" si="486"/>
        <v>1-42,0413330170502i</v>
      </c>
      <c r="AN534" s="32">
        <f t="shared" si="507"/>
        <v>42.0532243930298</v>
      </c>
      <c r="AO534" s="32">
        <f t="shared" si="508"/>
        <v>-1.54701469573924</v>
      </c>
      <c r="AP534" s="30" t="str">
        <f t="shared" si="509"/>
        <v>2,88883990194996-171,673944143334i</v>
      </c>
      <c r="AQ534" s="32">
        <f t="shared" si="510"/>
        <v>44.6953172920778</v>
      </c>
      <c r="AR534" s="31">
        <f t="shared" si="511"/>
        <v>-89.0359473908471</v>
      </c>
      <c r="AS534" t="str">
        <f t="shared" si="487"/>
        <v>-0,000201496259351621</v>
      </c>
      <c r="AT534" t="str">
        <f t="shared" si="488"/>
        <v>2,04071774446288i</v>
      </c>
      <c r="AU534">
        <f t="shared" si="512"/>
        <v>2.04071774446288</v>
      </c>
      <c r="AV534">
        <f t="shared" si="513"/>
        <v>1.5707963267949</v>
      </c>
      <c r="AW534" t="str">
        <f t="shared" si="489"/>
        <v>1+104,481005469322i</v>
      </c>
      <c r="AX534">
        <f t="shared" si="514"/>
        <v>104.485790918577</v>
      </c>
      <c r="AY534">
        <f t="shared" si="515"/>
        <v>1.56122550134433</v>
      </c>
      <c r="AZ534" t="str">
        <f t="shared" si="490"/>
        <v>1+4995,08126148012i</v>
      </c>
      <c r="BA534">
        <f t="shared" si="516"/>
        <v>4995.08136157859</v>
      </c>
      <c r="BB534">
        <f t="shared" si="517"/>
        <v>1.57059612985429</v>
      </c>
      <c r="BC534" s="30" t="str">
        <f t="shared" si="518"/>
        <v>-0,0000442315078406987+0,00472009034925978i</v>
      </c>
      <c r="BD534" s="32">
        <f t="shared" si="519"/>
        <v>-46.5206124115867</v>
      </c>
      <c r="BE534" s="31">
        <f t="shared" si="520"/>
        <v>90.5368974650058</v>
      </c>
      <c r="BF534" s="30" t="str">
        <f t="shared" si="521"/>
        <v>-0,0122362018780304-0,0217509707120172i</v>
      </c>
      <c r="BG534" s="68">
        <f t="shared" si="522"/>
        <v>-32.0563092079075</v>
      </c>
      <c r="BH534" s="31">
        <f t="shared" si="523"/>
        <v>-119.360316505295</v>
      </c>
      <c r="BI534" s="30" t="str">
        <f t="shared" si="476"/>
        <v>0,81018874922554+0,0212289827481701i</v>
      </c>
      <c r="BJ534" s="68">
        <f t="shared" si="524"/>
        <v>-1.82529511950889</v>
      </c>
      <c r="BK534" s="31">
        <f t="shared" si="477"/>
        <v>1.50095007415868</v>
      </c>
      <c r="BL534" s="32">
        <f t="shared" si="525"/>
        <v>-32.0563092079075</v>
      </c>
      <c r="BM534" s="31">
        <f t="shared" si="526"/>
        <v>-119.360316505295</v>
      </c>
      <c r="BO534">
        <f t="shared" si="527"/>
        <v>0</v>
      </c>
      <c r="BP534">
        <f t="shared" si="528"/>
        <v>0</v>
      </c>
    </row>
    <row r="535" spans="14:68">
      <c r="N535" s="7">
        <v>17</v>
      </c>
      <c r="O535" s="18">
        <f t="shared" si="478"/>
        <v>1479108.38816821</v>
      </c>
      <c r="P535" s="86" t="str">
        <f t="shared" si="479"/>
        <v>54,5454545454545</v>
      </c>
      <c r="Q535" s="4" t="str">
        <f t="shared" si="480"/>
        <v>1+18924,9700787933i</v>
      </c>
      <c r="R535" s="4">
        <f t="shared" si="491"/>
        <v>18924.9701052134</v>
      </c>
      <c r="S535" s="4">
        <f t="shared" si="492"/>
        <v>1.57074348655288</v>
      </c>
      <c r="T535" s="4" t="str">
        <f t="shared" si="481"/>
        <v>1+145,722269606709i</v>
      </c>
      <c r="U535" s="4">
        <f t="shared" si="493"/>
        <v>145.725700750864</v>
      </c>
      <c r="V535" s="4">
        <f t="shared" si="494"/>
        <v>1.5639340654139</v>
      </c>
      <c r="W535" t="str">
        <f t="shared" si="482"/>
        <v>1-418,208044151906i</v>
      </c>
      <c r="X535" s="4">
        <f t="shared" si="495"/>
        <v>418.209239727391</v>
      </c>
      <c r="Y535" s="4">
        <f t="shared" si="496"/>
        <v>-1.56840517696381</v>
      </c>
      <c r="Z535" t="str">
        <f t="shared" si="483"/>
        <v>-16,8592785628537+28,8762697152507i</v>
      </c>
      <c r="AA535" s="4">
        <f t="shared" si="497"/>
        <v>33.4376169355384</v>
      </c>
      <c r="AB535" s="4">
        <f t="shared" si="498"/>
        <v>2.09925278427902</v>
      </c>
      <c r="AC535" s="67" t="str">
        <f t="shared" si="499"/>
        <v>-4,52478135406422+2,66864888652396i</v>
      </c>
      <c r="AD535" s="68">
        <f t="shared" si="500"/>
        <v>14.4083564203495</v>
      </c>
      <c r="AE535" s="31">
        <f t="shared" si="501"/>
        <v>149.468527031039</v>
      </c>
      <c r="AF535" s="32" t="str">
        <f t="shared" si="502"/>
        <v>432,040091031901</v>
      </c>
      <c r="AG535" s="32" t="str">
        <f t="shared" si="484"/>
        <v>1+15420,3459901279i</v>
      </c>
      <c r="AH535" s="32">
        <f t="shared" si="503"/>
        <v>15420.3460225526</v>
      </c>
      <c r="AI535" s="32">
        <f t="shared" si="504"/>
        <v>1.570731477407</v>
      </c>
      <c r="AJ535" s="32" t="str">
        <f t="shared" si="485"/>
        <v>1+145,722269606709i</v>
      </c>
      <c r="AK535" s="32">
        <f t="shared" si="505"/>
        <v>145.725700750864</v>
      </c>
      <c r="AL535" s="32">
        <f t="shared" si="506"/>
        <v>1.5639340654139</v>
      </c>
      <c r="AM535" s="32" t="str">
        <f t="shared" si="486"/>
        <v>1-43,020601462489i</v>
      </c>
      <c r="AN535" s="32">
        <f t="shared" si="507"/>
        <v>43.0322222316523</v>
      </c>
      <c r="AO535" s="32">
        <f t="shared" si="508"/>
        <v>-1.54755583458027</v>
      </c>
      <c r="AP535" s="30" t="str">
        <f t="shared" si="509"/>
        <v>2,88883981689374-175,671432402349i</v>
      </c>
      <c r="AQ535" s="32">
        <f t="shared" si="510"/>
        <v>44.8951971259866</v>
      </c>
      <c r="AR535" s="31">
        <f t="shared" si="511"/>
        <v>-89.057880901112</v>
      </c>
      <c r="AS535" t="str">
        <f t="shared" si="487"/>
        <v>-0,000201496259351621</v>
      </c>
      <c r="AT535" t="str">
        <f t="shared" si="488"/>
        <v>2,08825216713185i</v>
      </c>
      <c r="AU535">
        <f t="shared" si="512"/>
        <v>2.08825216713185</v>
      </c>
      <c r="AV535">
        <f t="shared" si="513"/>
        <v>1.5707963267949</v>
      </c>
      <c r="AW535" t="str">
        <f t="shared" si="489"/>
        <v>1+106,914680723204i</v>
      </c>
      <c r="AX535">
        <f t="shared" si="514"/>
        <v>106.919357247154</v>
      </c>
      <c r="AY535">
        <f t="shared" si="515"/>
        <v>1.56144334707634</v>
      </c>
      <c r="AZ535" t="str">
        <f t="shared" si="490"/>
        <v>1+5111,43165074551i</v>
      </c>
      <c r="BA535">
        <f t="shared" si="516"/>
        <v>5111.43174856546</v>
      </c>
      <c r="BB535">
        <f t="shared" si="517"/>
        <v>1.57060068689289</v>
      </c>
      <c r="BC535" s="30" t="str">
        <f t="shared" si="518"/>
        <v>-0,0000422409361982553+0,00461266659389009i</v>
      </c>
      <c r="BD535" s="32">
        <f t="shared" si="519"/>
        <v>-46.7205945152257</v>
      </c>
      <c r="BE535" s="31">
        <f t="shared" si="520"/>
        <v>90.5246769230557</v>
      </c>
      <c r="BF535" s="30" t="str">
        <f t="shared" si="521"/>
        <v>-0,012118456569203-0,0209840340239i</v>
      </c>
      <c r="BG535" s="68">
        <f t="shared" si="522"/>
        <v>-32.3122380948762</v>
      </c>
      <c r="BH535" s="31">
        <f t="shared" si="523"/>
        <v>-120.006796045906</v>
      </c>
      <c r="BI535" s="30" t="str">
        <f t="shared" si="476"/>
        <v>0,810191720444744+0,0207457806864491i</v>
      </c>
      <c r="BJ535" s="68">
        <f t="shared" si="524"/>
        <v>-1.82539738923909</v>
      </c>
      <c r="BK535" s="31">
        <f t="shared" si="477"/>
        <v>1.46679602194371</v>
      </c>
      <c r="BL535" s="32">
        <f t="shared" si="525"/>
        <v>-32.3122380948762</v>
      </c>
      <c r="BM535" s="31">
        <f t="shared" si="526"/>
        <v>-120.006796045906</v>
      </c>
      <c r="BO535">
        <f t="shared" si="527"/>
        <v>0</v>
      </c>
      <c r="BP535">
        <f t="shared" si="528"/>
        <v>0</v>
      </c>
    </row>
    <row r="536" spans="14:68">
      <c r="N536" s="7">
        <v>18</v>
      </c>
      <c r="O536" s="18">
        <f t="shared" si="478"/>
        <v>1513561.24843621</v>
      </c>
      <c r="P536" s="86" t="str">
        <f t="shared" si="479"/>
        <v>54,5454545454545</v>
      </c>
      <c r="Q536" s="4" t="str">
        <f t="shared" si="480"/>
        <v>1+19365,7892607521i</v>
      </c>
      <c r="R536" s="4">
        <f t="shared" si="491"/>
        <v>19365.7892865708</v>
      </c>
      <c r="S536" s="4">
        <f t="shared" si="492"/>
        <v>1.57074468934363</v>
      </c>
      <c r="T536" s="4" t="str">
        <f t="shared" si="481"/>
        <v>1+149,116577307792i</v>
      </c>
      <c r="U536" s="4">
        <f t="shared" si="493"/>
        <v>149.119930351347</v>
      </c>
      <c r="V536" s="4">
        <f t="shared" si="494"/>
        <v>1.56409026481583</v>
      </c>
      <c r="W536" t="str">
        <f t="shared" si="482"/>
        <v>1-427,949360896086i</v>
      </c>
      <c r="X536" s="4">
        <f t="shared" si="495"/>
        <v>427.950529257026</v>
      </c>
      <c r="Y536" s="4">
        <f t="shared" si="496"/>
        <v>-1.56845960597864</v>
      </c>
      <c r="Z536" t="str">
        <f t="shared" si="483"/>
        <v>-17,7009604307575+29,548884442825i</v>
      </c>
      <c r="AA536" s="4">
        <f t="shared" si="497"/>
        <v>34.445036971771</v>
      </c>
      <c r="AB536" s="4">
        <f t="shared" si="498"/>
        <v>2.11050956340834</v>
      </c>
      <c r="AC536" s="67" t="str">
        <f t="shared" si="499"/>
        <v>-4,46489858952459+2,70091648164556i</v>
      </c>
      <c r="AD536" s="68">
        <f t="shared" si="500"/>
        <v>14.3505193570747</v>
      </c>
      <c r="AE536" s="31">
        <f t="shared" si="501"/>
        <v>148.829323194845</v>
      </c>
      <c r="AF536" s="32" t="str">
        <f t="shared" si="502"/>
        <v>432,040091031901</v>
      </c>
      <c r="AG536" s="32" t="str">
        <f t="shared" si="484"/>
        <v>1+15779,5319902425i</v>
      </c>
      <c r="AH536" s="32">
        <f t="shared" si="503"/>
        <v>15779.5320219291</v>
      </c>
      <c r="AI536" s="32">
        <f t="shared" si="504"/>
        <v>1.57073295355928</v>
      </c>
      <c r="AJ536" s="32" t="str">
        <f t="shared" si="485"/>
        <v>1+149,116577307792i</v>
      </c>
      <c r="AK536" s="32">
        <f t="shared" si="505"/>
        <v>149.119930351347</v>
      </c>
      <c r="AL536" s="32">
        <f t="shared" si="506"/>
        <v>1.56409026481583</v>
      </c>
      <c r="AM536" s="32" t="str">
        <f t="shared" si="486"/>
        <v>1-44,0226800002681i</v>
      </c>
      <c r="AN536" s="32">
        <f t="shared" si="507"/>
        <v>44.0340363174443</v>
      </c>
      <c r="AO536" s="32">
        <f t="shared" si="508"/>
        <v>-1.54808466875233</v>
      </c>
      <c r="AP536" s="30" t="str">
        <f t="shared" si="509"/>
        <v>2,88883973566566-179,762063980108i</v>
      </c>
      <c r="AQ536" s="32">
        <f t="shared" si="510"/>
        <v>45.0950823656145</v>
      </c>
      <c r="AR536" s="31">
        <f t="shared" si="511"/>
        <v>-89.0793158780358</v>
      </c>
      <c r="AS536" t="str">
        <f t="shared" si="487"/>
        <v>-0,000201496259351621</v>
      </c>
      <c r="AT536" t="str">
        <f t="shared" si="488"/>
        <v>2,13689380874112i</v>
      </c>
      <c r="AU536">
        <f t="shared" si="512"/>
        <v>2.13689380874112</v>
      </c>
      <c r="AV536">
        <f t="shared" si="513"/>
        <v>1.5707963267949</v>
      </c>
      <c r="AW536" t="str">
        <f t="shared" si="489"/>
        <v>1+109,405043555989i</v>
      </c>
      <c r="AX536">
        <f t="shared" si="514"/>
        <v>109.409613633756</v>
      </c>
      <c r="AY536">
        <f t="shared" si="515"/>
        <v>1.56165623489191</v>
      </c>
      <c r="AZ536" t="str">
        <f t="shared" si="490"/>
        <v>1+5230,49218872993i</v>
      </c>
      <c r="BA536">
        <f t="shared" si="516"/>
        <v>5230.49228432323</v>
      </c>
      <c r="BB536">
        <f t="shared" si="517"/>
        <v>1.57060514020065</v>
      </c>
      <c r="BC536" s="30" t="str">
        <f t="shared" si="518"/>
        <v>-0,0000403399397164631+0,00450768685917528i</v>
      </c>
      <c r="BD536" s="32">
        <f t="shared" si="519"/>
        <v>-46.9205774242648</v>
      </c>
      <c r="BE536" s="31">
        <f t="shared" si="520"/>
        <v>90.5127345054526</v>
      </c>
      <c r="BF536" s="30" t="str">
        <f t="shared" si="521"/>
        <v>-0,0119947719921021-0,020235319507599i</v>
      </c>
      <c r="BG536" s="68">
        <f t="shared" si="522"/>
        <v>-32.5700580671901</v>
      </c>
      <c r="BH536" s="31">
        <f t="shared" si="523"/>
        <v>-120.657942299703</v>
      </c>
      <c r="BI536" s="30" t="str">
        <f t="shared" si="476"/>
        <v>0,810194557960571+0,020273575738988i</v>
      </c>
      <c r="BJ536" s="68">
        <f t="shared" si="524"/>
        <v>-1.82549505865035</v>
      </c>
      <c r="BK536" s="31">
        <f t="shared" si="477"/>
        <v>1.4334186274168</v>
      </c>
      <c r="BL536" s="32">
        <f t="shared" si="525"/>
        <v>-32.5700580671901</v>
      </c>
      <c r="BM536" s="31">
        <f t="shared" si="526"/>
        <v>-120.657942299703</v>
      </c>
      <c r="BO536">
        <f t="shared" si="527"/>
        <v>0</v>
      </c>
      <c r="BP536">
        <f t="shared" si="528"/>
        <v>0</v>
      </c>
    </row>
    <row r="537" spans="14:68">
      <c r="N537" s="7">
        <v>19</v>
      </c>
      <c r="O537" s="18">
        <f t="shared" si="478"/>
        <v>1548816.61891249</v>
      </c>
      <c r="P537" s="86" t="str">
        <f t="shared" si="479"/>
        <v>54,5454545454545</v>
      </c>
      <c r="Q537" s="4" t="str">
        <f t="shared" si="480"/>
        <v>1+19816,8764405136i</v>
      </c>
      <c r="R537" s="4">
        <f t="shared" si="491"/>
        <v>19816.8764657446</v>
      </c>
      <c r="S537" s="4">
        <f t="shared" si="492"/>
        <v>1.57074586475553</v>
      </c>
      <c r="T537" s="4" t="str">
        <f t="shared" si="481"/>
        <v>1+152,589948591955i</v>
      </c>
      <c r="U537" s="4">
        <f t="shared" si="493"/>
        <v>152.593225312579</v>
      </c>
      <c r="V537" s="4">
        <f t="shared" si="494"/>
        <v>1.56424290900149</v>
      </c>
      <c r="W537" t="str">
        <f t="shared" si="482"/>
        <v>1-437,917582055994i</v>
      </c>
      <c r="X537" s="4">
        <f t="shared" si="495"/>
        <v>437.918723821862</v>
      </c>
      <c r="Y537" s="4">
        <f t="shared" si="496"/>
        <v>-1.5685127960512</v>
      </c>
      <c r="Z537" t="str">
        <f t="shared" si="483"/>
        <v>-18,5823095430166+30,2371663800567i</v>
      </c>
      <c r="AA537" s="4">
        <f t="shared" si="497"/>
        <v>35.4906812930904</v>
      </c>
      <c r="AB537" s="4">
        <f t="shared" si="498"/>
        <v>2.12184713397919</v>
      </c>
      <c r="AC537" s="67" t="str">
        <f t="shared" si="499"/>
        <v>-4,40385551709649+2,73206427861178i</v>
      </c>
      <c r="AD537" s="68">
        <f t="shared" si="500"/>
        <v>14.2907558786424</v>
      </c>
      <c r="AE537" s="31">
        <f t="shared" si="501"/>
        <v>148.185359205998</v>
      </c>
      <c r="AF537" s="32" t="str">
        <f t="shared" si="502"/>
        <v>432,040091031901</v>
      </c>
      <c r="AG537" s="32" t="str">
        <f t="shared" si="484"/>
        <v>1+16147,0845070852i</v>
      </c>
      <c r="AH537" s="32">
        <f t="shared" si="503"/>
        <v>16147.0845380505</v>
      </c>
      <c r="AI537" s="32">
        <f t="shared" si="504"/>
        <v>1.57073439611024</v>
      </c>
      <c r="AJ537" s="32" t="str">
        <f t="shared" si="485"/>
        <v>1+152,589948591955i</v>
      </c>
      <c r="AK537" s="32">
        <f t="shared" si="505"/>
        <v>152.593225312579</v>
      </c>
      <c r="AL537" s="32">
        <f t="shared" si="506"/>
        <v>1.56424290900149</v>
      </c>
      <c r="AM537" s="32" t="str">
        <f t="shared" si="486"/>
        <v>1-45,0480999456926i</v>
      </c>
      <c r="AN537" s="32">
        <f t="shared" si="507"/>
        <v>45.059197825939</v>
      </c>
      <c r="AO537" s="32">
        <f t="shared" si="508"/>
        <v>-1.54860147746643</v>
      </c>
      <c r="AP537" s="30" t="str">
        <f t="shared" si="509"/>
        <v>2,88883965809343-183,948007783621i</v>
      </c>
      <c r="AQ537" s="32">
        <f t="shared" si="510"/>
        <v>45.2949727678966</v>
      </c>
      <c r="AR537" s="31">
        <f t="shared" si="511"/>
        <v>-89.1002636206452</v>
      </c>
      <c r="AS537" t="str">
        <f t="shared" si="487"/>
        <v>-0,000201496259351621</v>
      </c>
      <c r="AT537" t="str">
        <f t="shared" si="488"/>
        <v>2,18666845973293i</v>
      </c>
      <c r="AU537">
        <f t="shared" si="512"/>
        <v>2.18666845973293</v>
      </c>
      <c r="AV537">
        <f t="shared" si="513"/>
        <v>1.5707963267949</v>
      </c>
      <c r="AW537" t="str">
        <f t="shared" si="489"/>
        <v>1+111,953414391015i</v>
      </c>
      <c r="AX537">
        <f t="shared" si="514"/>
        <v>111.95788044531</v>
      </c>
      <c r="AY537">
        <f t="shared" si="515"/>
        <v>1.56186427758975</v>
      </c>
      <c r="AZ537" t="str">
        <f t="shared" si="490"/>
        <v>1+5352,32600290658i</v>
      </c>
      <c r="BA537">
        <f t="shared" si="516"/>
        <v>5352.32609632391</v>
      </c>
      <c r="BB537">
        <f t="shared" si="517"/>
        <v>1.57060949213875</v>
      </c>
      <c r="BC537" s="30" t="str">
        <f t="shared" si="518"/>
        <v>-0,0000385244881969282+0,00440509559533298i</v>
      </c>
      <c r="BD537" s="32">
        <f t="shared" si="519"/>
        <v>-47.1205611024611</v>
      </c>
      <c r="BE537" s="31">
        <f t="shared" si="520"/>
        <v>90.5010638845936</v>
      </c>
      <c r="BF537" s="30" t="str">
        <f t="shared" si="521"/>
        <v>-0,01186534803999-0,0195046559188992i</v>
      </c>
      <c r="BG537" s="68">
        <f t="shared" si="522"/>
        <v>-32.8298052238187</v>
      </c>
      <c r="BH537" s="31">
        <f t="shared" si="523"/>
        <v>-121.313576909408</v>
      </c>
      <c r="BI537" s="30" t="str">
        <f t="shared" si="476"/>
        <v>0,810197267788595+0,0198121177081992i</v>
      </c>
      <c r="BJ537" s="68">
        <f t="shared" si="524"/>
        <v>-1.82558833456449</v>
      </c>
      <c r="BK537" s="31">
        <f t="shared" si="477"/>
        <v>1.40080026394841</v>
      </c>
      <c r="BL537" s="32">
        <f t="shared" si="525"/>
        <v>-32.8298052238187</v>
      </c>
      <c r="BM537" s="31">
        <f t="shared" si="526"/>
        <v>-121.313576909408</v>
      </c>
      <c r="BO537">
        <f t="shared" si="527"/>
        <v>0</v>
      </c>
      <c r="BP537">
        <f t="shared" si="528"/>
        <v>0</v>
      </c>
    </row>
    <row r="538" spans="14:68">
      <c r="N538" s="7">
        <v>20</v>
      </c>
      <c r="O538" s="18">
        <f t="shared" si="478"/>
        <v>1584893.19246112</v>
      </c>
      <c r="P538" s="86" t="str">
        <f t="shared" si="479"/>
        <v>54,5454545454545</v>
      </c>
      <c r="Q538" s="4" t="str">
        <f t="shared" si="480"/>
        <v>1+20278,4707904711i</v>
      </c>
      <c r="R538" s="4">
        <f t="shared" si="491"/>
        <v>20278.4708151278</v>
      </c>
      <c r="S538" s="4">
        <f t="shared" si="492"/>
        <v>1.57074701341178</v>
      </c>
      <c r="T538" s="4" t="str">
        <f t="shared" si="481"/>
        <v>1+156,144225086628i</v>
      </c>
      <c r="U538" s="4">
        <f t="shared" si="493"/>
        <v>156.147427221532</v>
      </c>
      <c r="V538" s="4">
        <f t="shared" si="494"/>
        <v>1.56439207887638</v>
      </c>
      <c r="W538" t="str">
        <f t="shared" si="482"/>
        <v>1-448,11799291443i</v>
      </c>
      <c r="X538" s="4">
        <f t="shared" si="495"/>
        <v>448.119108690599</v>
      </c>
      <c r="Y538" s="4">
        <f t="shared" si="496"/>
        <v>-1.56856477538239</v>
      </c>
      <c r="Z538" t="str">
        <f t="shared" si="483"/>
        <v>-19,5051953592622+30,9414804631392i</v>
      </c>
      <c r="AA538" s="4">
        <f t="shared" si="497"/>
        <v>36.5763292206012</v>
      </c>
      <c r="AB538" s="4">
        <f t="shared" si="498"/>
        <v>2.13326210691845</v>
      </c>
      <c r="AC538" s="67" t="str">
        <f t="shared" si="499"/>
        <v>-4,34168655808666+2,76203720647109i</v>
      </c>
      <c r="AD538" s="68">
        <f t="shared" si="500"/>
        <v>14.2290308359806</v>
      </c>
      <c r="AE538" s="31">
        <f t="shared" si="501"/>
        <v>147.53683222813</v>
      </c>
      <c r="AF538" s="32" t="str">
        <f t="shared" si="502"/>
        <v>432,040091031901</v>
      </c>
      <c r="AG538" s="32" t="str">
        <f t="shared" si="484"/>
        <v>1+16523,1984218654i</v>
      </c>
      <c r="AH538" s="32">
        <f t="shared" si="503"/>
        <v>16523.1984521259</v>
      </c>
      <c r="AI538" s="32">
        <f t="shared" si="504"/>
        <v>1.57073580582473</v>
      </c>
      <c r="AJ538" s="32" t="str">
        <f t="shared" si="485"/>
        <v>1+156,144225086628i</v>
      </c>
      <c r="AK538" s="32">
        <f t="shared" si="505"/>
        <v>156.147427221532</v>
      </c>
      <c r="AL538" s="32">
        <f t="shared" si="506"/>
        <v>1.56439207887638</v>
      </c>
      <c r="AM538" s="32" t="str">
        <f t="shared" si="486"/>
        <v>1-46,0974049899902i</v>
      </c>
      <c r="AN538" s="32">
        <f t="shared" si="507"/>
        <v>46.1082503117519</v>
      </c>
      <c r="AO538" s="32">
        <f t="shared" si="508"/>
        <v>-1.54910653363648</v>
      </c>
      <c r="AP538" s="30" t="str">
        <f t="shared" si="509"/>
        <v>2,88883958401254-188,231483255701i</v>
      </c>
      <c r="AQ538" s="32">
        <f t="shared" si="510"/>
        <v>45.4948681006876</v>
      </c>
      <c r="AR538" s="31">
        <f t="shared" si="511"/>
        <v>-89.1207351740348</v>
      </c>
      <c r="AS538" t="str">
        <f t="shared" si="487"/>
        <v>-0,000201496259351621</v>
      </c>
      <c r="AT538" t="str">
        <f t="shared" si="488"/>
        <v>2,23760251128605i</v>
      </c>
      <c r="AU538">
        <f t="shared" si="512"/>
        <v>2.23760251128605</v>
      </c>
      <c r="AV538">
        <f t="shared" si="513"/>
        <v>1.5707963267949</v>
      </c>
      <c r="AW538" t="str">
        <f t="shared" si="489"/>
        <v>1+114,561144408228i</v>
      </c>
      <c r="AX538">
        <f t="shared" si="514"/>
        <v>114.565508806634</v>
      </c>
      <c r="AY538">
        <f t="shared" si="515"/>
        <v>1.56206758540478</v>
      </c>
      <c r="AZ538" t="str">
        <f t="shared" si="490"/>
        <v>1+5476,99769117636i</v>
      </c>
      <c r="BA538">
        <f t="shared" si="516"/>
        <v>5476.99778246725</v>
      </c>
      <c r="BB538">
        <f t="shared" si="517"/>
        <v>1.57061374501465</v>
      </c>
      <c r="BC538" s="30" t="str">
        <f t="shared" si="518"/>
        <v>-0,0000367907327114838+0,00430483851151555i</v>
      </c>
      <c r="BD538" s="32">
        <f t="shared" si="519"/>
        <v>-47.3205455152021</v>
      </c>
      <c r="BE538" s="31">
        <f t="shared" si="520"/>
        <v>90.4896588766906</v>
      </c>
      <c r="BF538" s="30" t="str">
        <f t="shared" si="521"/>
        <v>-0,01173039030698-0,0187918768727833i</v>
      </c>
      <c r="BG538" s="68">
        <f t="shared" si="522"/>
        <v>-33.0915146792215</v>
      </c>
      <c r="BH538" s="31">
        <f t="shared" si="523"/>
        <v>-121.973508895179</v>
      </c>
      <c r="BI538" s="30" t="str">
        <f t="shared" si="476"/>
        <v>0,810199855673854+0,0193611620831944i</v>
      </c>
      <c r="BJ538" s="68">
        <f t="shared" si="524"/>
        <v>-1.82567741451445</v>
      </c>
      <c r="BK538" s="31">
        <f t="shared" si="477"/>
        <v>1.36892370265586</v>
      </c>
      <c r="BL538" s="32">
        <f t="shared" si="525"/>
        <v>-33.0915146792215</v>
      </c>
      <c r="BM538" s="31">
        <f t="shared" si="526"/>
        <v>-121.973508895179</v>
      </c>
      <c r="BO538">
        <f t="shared" si="527"/>
        <v>0</v>
      </c>
      <c r="BP538">
        <f t="shared" si="528"/>
        <v>0</v>
      </c>
    </row>
    <row r="539" spans="14:68">
      <c r="N539" s="7">
        <v>21</v>
      </c>
      <c r="O539" s="18">
        <f t="shared" si="478"/>
        <v>1621810.09735893</v>
      </c>
      <c r="P539" s="86" t="str">
        <f t="shared" si="479"/>
        <v>54,5454545454545</v>
      </c>
      <c r="Q539" s="4" t="str">
        <f t="shared" si="480"/>
        <v>1+20750,817054059i</v>
      </c>
      <c r="R539" s="4">
        <f t="shared" si="491"/>
        <v>20750.8170781544</v>
      </c>
      <c r="S539" s="4">
        <f t="shared" si="492"/>
        <v>1.57074813592142</v>
      </c>
      <c r="T539" s="4" t="str">
        <f t="shared" si="481"/>
        <v>1+159,781291316254i</v>
      </c>
      <c r="U539" s="4">
        <f t="shared" si="493"/>
        <v>159.784420563113</v>
      </c>
      <c r="V539" s="4">
        <f t="shared" si="494"/>
        <v>1.56453785350578</v>
      </c>
      <c r="W539" t="str">
        <f t="shared" si="482"/>
        <v>1-458,55600186425i</v>
      </c>
      <c r="X539" s="4">
        <f t="shared" si="495"/>
        <v>458.557092242314</v>
      </c>
      <c r="Y539" s="4">
        <f t="shared" si="496"/>
        <v>-1.56861557153119</v>
      </c>
      <c r="Z539" t="str">
        <f t="shared" si="483"/>
        <v>-20,4715754440439+31,662200128722i</v>
      </c>
      <c r="AA539" s="4">
        <f t="shared" si="497"/>
        <v>37.7038501767714</v>
      </c>
      <c r="AB539" s="4">
        <f t="shared" si="498"/>
        <v>2.144750877709</v>
      </c>
      <c r="AC539" s="67" t="str">
        <f t="shared" si="499"/>
        <v>-4,27842974364595+2,79078120548273i</v>
      </c>
      <c r="AD539" s="68">
        <f t="shared" si="500"/>
        <v>14.1653101818546</v>
      </c>
      <c r="AE539" s="31">
        <f t="shared" si="501"/>
        <v>146.883951701056</v>
      </c>
      <c r="AF539" s="32" t="str">
        <f t="shared" si="502"/>
        <v>432,040091031901</v>
      </c>
      <c r="AG539" s="32" t="str">
        <f t="shared" si="484"/>
        <v>1+16908,0731551591i</v>
      </c>
      <c r="AH539" s="32">
        <f t="shared" si="503"/>
        <v>16908.0731847308</v>
      </c>
      <c r="AI539" s="32">
        <f t="shared" si="504"/>
        <v>1.5707371834502</v>
      </c>
      <c r="AJ539" s="32" t="str">
        <f t="shared" si="485"/>
        <v>1+159,781291316254i</v>
      </c>
      <c r="AK539" s="32">
        <f t="shared" si="505"/>
        <v>159.784420563113</v>
      </c>
      <c r="AL539" s="32">
        <f t="shared" si="506"/>
        <v>1.56453785350578</v>
      </c>
      <c r="AM539" s="32" t="str">
        <f t="shared" si="486"/>
        <v>1-47,1711514885846i</v>
      </c>
      <c r="AN539" s="32">
        <f t="shared" si="507"/>
        <v>47.1817499967837</v>
      </c>
      <c r="AO539" s="32">
        <f t="shared" si="508"/>
        <v>-1.54960010401872</v>
      </c>
      <c r="AP539" s="30" t="str">
        <f t="shared" si="509"/>
        <v>2,88883951326585-192,61476155174i</v>
      </c>
      <c r="AQ539" s="32">
        <f t="shared" si="510"/>
        <v>45.6947681422716</v>
      </c>
      <c r="AR539" s="31">
        <f t="shared" si="511"/>
        <v>-89.14074133493</v>
      </c>
      <c r="AS539" t="str">
        <f t="shared" si="487"/>
        <v>-0,000201496259351621</v>
      </c>
      <c r="AT539" t="str">
        <f t="shared" si="488"/>
        <v>2,28972296930882i</v>
      </c>
      <c r="AU539">
        <f t="shared" si="512"/>
        <v>2.28972296930882</v>
      </c>
      <c r="AV539">
        <f t="shared" si="513"/>
        <v>1.5707963267949</v>
      </c>
      <c r="AW539" t="str">
        <f t="shared" si="489"/>
        <v>1+117,229616260603i</v>
      </c>
      <c r="AX539">
        <f t="shared" si="514"/>
        <v>117.233881316829</v>
      </c>
      <c r="AY539">
        <f t="shared" si="515"/>
        <v>1.56226626606621</v>
      </c>
      <c r="AZ539" t="str">
        <f t="shared" si="490"/>
        <v>1+5604,5733561186i</v>
      </c>
      <c r="BA539">
        <f t="shared" si="516"/>
        <v>5604.57344533146</v>
      </c>
      <c r="BB539">
        <f t="shared" si="517"/>
        <v>1.57061790108328</v>
      </c>
      <c r="BC539" s="30" t="str">
        <f t="shared" si="518"/>
        <v>-0,0000351349974541106+0,00420686254752188i</v>
      </c>
      <c r="BD539" s="32">
        <f t="shared" si="519"/>
        <v>-47.5205306294331</v>
      </c>
      <c r="BE539" s="31">
        <f t="shared" si="520"/>
        <v>90.4785134385117</v>
      </c>
      <c r="BF539" s="30" t="str">
        <f t="shared" si="521"/>
        <v>-0,0115901103135227-0,0180968199412974i</v>
      </c>
      <c r="BG539" s="68">
        <f t="shared" si="522"/>
        <v>-33.3552204475785</v>
      </c>
      <c r="BH539" s="31">
        <f t="shared" si="523"/>
        <v>-122.637534860432</v>
      </c>
      <c r="BI539" s="30" t="str">
        <f t="shared" si="476"/>
        <v>0,810202327102928+0,0189204699109039i</v>
      </c>
      <c r="BJ539" s="68">
        <f t="shared" si="524"/>
        <v>-1.82576248716148</v>
      </c>
      <c r="BK539" s="31">
        <f t="shared" si="477"/>
        <v>1.33777210358163</v>
      </c>
      <c r="BL539" s="32">
        <f t="shared" si="525"/>
        <v>-33.3552204475785</v>
      </c>
      <c r="BM539" s="31">
        <f t="shared" si="526"/>
        <v>-122.637534860432</v>
      </c>
      <c r="BO539">
        <f t="shared" si="527"/>
        <v>0</v>
      </c>
      <c r="BP539">
        <f t="shared" si="528"/>
        <v>0</v>
      </c>
    </row>
    <row r="540" spans="14:68">
      <c r="N540" s="7">
        <v>22</v>
      </c>
      <c r="O540" s="18">
        <f t="shared" si="478"/>
        <v>1659586.90743756</v>
      </c>
      <c r="P540" s="86" t="str">
        <f t="shared" si="479"/>
        <v>54,5454545454545</v>
      </c>
      <c r="Q540" s="4" t="str">
        <f t="shared" si="480"/>
        <v>1+21234,1656755186i</v>
      </c>
      <c r="R540" s="4">
        <f t="shared" si="491"/>
        <v>21234.1656990656</v>
      </c>
      <c r="S540" s="4">
        <f t="shared" si="492"/>
        <v>1.57074923287962</v>
      </c>
      <c r="T540" s="4" t="str">
        <f t="shared" si="481"/>
        <v>1+163,503075701493i</v>
      </c>
      <c r="U540" s="4">
        <f t="shared" si="493"/>
        <v>163.506133719344</v>
      </c>
      <c r="V540" s="4">
        <f t="shared" si="494"/>
        <v>1.56468031015652</v>
      </c>
      <c r="W540" t="str">
        <f t="shared" si="482"/>
        <v>1-469,237143275969i</v>
      </c>
      <c r="X540" s="4">
        <f t="shared" si="495"/>
        <v>469.238208834055</v>
      </c>
      <c r="Y540" s="4">
        <f t="shared" si="496"/>
        <v>-1.56866521142936</v>
      </c>
      <c r="Z540" t="str">
        <f t="shared" si="483"/>
        <v>-21,4834996190872+32,3997075119121i</v>
      </c>
      <c r="AA540" s="4">
        <f t="shared" si="497"/>
        <v>38.8752080732795</v>
      </c>
      <c r="AB540" s="4">
        <f t="shared" si="498"/>
        <v>2.15630963092084</v>
      </c>
      <c r="AC540" s="67" t="str">
        <f t="shared" si="499"/>
        <v>-4,21412669589557+2,81824349811335i</v>
      </c>
      <c r="AD540" s="68">
        <f t="shared" si="500"/>
        <v>14.0995610862399</v>
      </c>
      <c r="AE540" s="31">
        <f t="shared" si="501"/>
        <v>146.2269390827</v>
      </c>
      <c r="AF540" s="32" t="str">
        <f t="shared" si="502"/>
        <v>432,040091031901</v>
      </c>
      <c r="AG540" s="32" t="str">
        <f t="shared" si="484"/>
        <v>1+17301,9127726447i</v>
      </c>
      <c r="AH540" s="32">
        <f t="shared" si="503"/>
        <v>17301.9128015432</v>
      </c>
      <c r="AI540" s="32">
        <f t="shared" si="504"/>
        <v>1.57073852971708</v>
      </c>
      <c r="AJ540" s="32" t="str">
        <f t="shared" si="485"/>
        <v>1+163,503075701493i</v>
      </c>
      <c r="AK540" s="32">
        <f t="shared" si="505"/>
        <v>163.506133719344</v>
      </c>
      <c r="AL540" s="32">
        <f t="shared" si="506"/>
        <v>1.56468031015652</v>
      </c>
      <c r="AM540" s="32" t="str">
        <f t="shared" si="486"/>
        <v>1-48,2699087560826i</v>
      </c>
      <c r="AN540" s="32">
        <f t="shared" si="507"/>
        <v>48.2802660651382</v>
      </c>
      <c r="AO540" s="32">
        <f t="shared" si="508"/>
        <v>-1.55008244934822</v>
      </c>
      <c r="AP540" s="30" t="str">
        <f t="shared" si="509"/>
        <v>2,88883944570327-197,100166743912i</v>
      </c>
      <c r="AQ540" s="32">
        <f t="shared" si="510"/>
        <v>45.8946726808945</v>
      </c>
      <c r="AR540" s="31">
        <f t="shared" si="511"/>
        <v>-89.1602926571377</v>
      </c>
      <c r="AS540" t="str">
        <f t="shared" si="487"/>
        <v>-0,000201496259351621</v>
      </c>
      <c r="AT540" t="str">
        <f t="shared" si="488"/>
        <v>2,343057468758i</v>
      </c>
      <c r="AU540">
        <f t="shared" si="512"/>
        <v>2.343057468758</v>
      </c>
      <c r="AV540">
        <f t="shared" si="513"/>
        <v>1.5707963267949</v>
      </c>
      <c r="AW540" t="str">
        <f t="shared" si="489"/>
        <v>1+119,960244807237i</v>
      </c>
      <c r="AX540">
        <f t="shared" si="514"/>
        <v>119.964412782342</v>
      </c>
      <c r="AY540">
        <f t="shared" si="515"/>
        <v>1.56246042485439</v>
      </c>
      <c r="AZ540" t="str">
        <f t="shared" si="490"/>
        <v>1+5735,12064003961i</v>
      </c>
      <c r="BA540">
        <f t="shared" si="516"/>
        <v>5735.12072722173</v>
      </c>
      <c r="BB540">
        <f t="shared" si="517"/>
        <v>1.57062196254824</v>
      </c>
      <c r="BC540" s="30" t="str">
        <f t="shared" si="518"/>
        <v>-0,0000335537719586767+0,00411111584612935i</v>
      </c>
      <c r="BD540" s="32">
        <f t="shared" si="519"/>
        <v>-47.7205164135864</v>
      </c>
      <c r="BE540" s="31">
        <f t="shared" si="520"/>
        <v>90.4676216641947</v>
      </c>
      <c r="BF540" s="30" t="str">
        <f t="shared" si="521"/>
        <v>-0,0114447256571858-0,0174193257367527i</v>
      </c>
      <c r="BG540" s="68">
        <f t="shared" si="522"/>
        <v>-33.6209553273464</v>
      </c>
      <c r="BH540" s="31">
        <f t="shared" si="523"/>
        <v>-123.305439253106</v>
      </c>
      <c r="BI540" s="30" t="str">
        <f t="shared" si="476"/>
        <v>0,810204687315647+0,0184898076700966i</v>
      </c>
      <c r="BJ540" s="68">
        <f t="shared" si="524"/>
        <v>-1.82584373269187</v>
      </c>
      <c r="BK540" s="31">
        <f t="shared" si="477"/>
        <v>1.30732900705703</v>
      </c>
      <c r="BL540" s="32">
        <f t="shared" si="525"/>
        <v>-33.6209553273464</v>
      </c>
      <c r="BM540" s="31">
        <f t="shared" si="526"/>
        <v>-123.305439253106</v>
      </c>
      <c r="BO540">
        <f t="shared" si="527"/>
        <v>0</v>
      </c>
      <c r="BP540">
        <f t="shared" si="528"/>
        <v>0</v>
      </c>
    </row>
    <row r="541" spans="14:68">
      <c r="N541" s="7">
        <v>23</v>
      </c>
      <c r="O541" s="18">
        <f t="shared" si="478"/>
        <v>1698243.65246175</v>
      </c>
      <c r="P541" s="86" t="str">
        <f t="shared" si="479"/>
        <v>54,5454545454545</v>
      </c>
      <c r="Q541" s="4" t="str">
        <f t="shared" si="480"/>
        <v>1+21728,7729326868i</v>
      </c>
      <c r="R541" s="4">
        <f t="shared" si="491"/>
        <v>21728.7729556978</v>
      </c>
      <c r="S541" s="4">
        <f t="shared" si="492"/>
        <v>1.57075030486801</v>
      </c>
      <c r="T541" s="4" t="str">
        <f t="shared" si="481"/>
        <v>1+167,311551581689i</v>
      </c>
      <c r="U541" s="4">
        <f t="shared" si="493"/>
        <v>167.314539991814</v>
      </c>
      <c r="V541" s="4">
        <f t="shared" si="494"/>
        <v>1.56481952433787</v>
      </c>
      <c r="W541" t="str">
        <f t="shared" si="482"/>
        <v>1-480,167080432142i</v>
      </c>
      <c r="X541" s="4">
        <f t="shared" si="495"/>
        <v>480.168121735218</v>
      </c>
      <c r="Y541" s="4">
        <f t="shared" si="496"/>
        <v>-1.56871372139564</v>
      </c>
      <c r="Z541" t="str">
        <f t="shared" si="483"/>
        <v>-22,543114311238+33,154393648886i</v>
      </c>
      <c r="AA541" s="4">
        <f t="shared" si="497"/>
        <v>40.0924658891772</v>
      </c>
      <c r="AB541" s="4">
        <f t="shared" si="498"/>
        <v>2.16793434572506</v>
      </c>
      <c r="AC541" s="67" t="str">
        <f t="shared" si="499"/>
        <v>-4,14882258582724+2,84437286302786i</v>
      </c>
      <c r="AD541" s="68">
        <f t="shared" si="500"/>
        <v>14.0317520506567</v>
      </c>
      <c r="AE541" s="31">
        <f t="shared" si="501"/>
        <v>145.566027534672</v>
      </c>
      <c r="AF541" s="32" t="str">
        <f t="shared" si="502"/>
        <v>432,040091031901</v>
      </c>
      <c r="AG541" s="32" t="str">
        <f t="shared" si="484"/>
        <v>1+17704,9260933003i</v>
      </c>
      <c r="AH541" s="32">
        <f t="shared" si="503"/>
        <v>17704.926121541</v>
      </c>
      <c r="AI541" s="32">
        <f t="shared" si="504"/>
        <v>1.57073984533919</v>
      </c>
      <c r="AJ541" s="32" t="str">
        <f t="shared" si="485"/>
        <v>1+167,311551581689i</v>
      </c>
      <c r="AK541" s="32">
        <f t="shared" si="505"/>
        <v>167.314539991814</v>
      </c>
      <c r="AL541" s="32">
        <f t="shared" si="506"/>
        <v>1.56481952433787</v>
      </c>
      <c r="AM541" s="32" t="str">
        <f t="shared" si="486"/>
        <v>1-49,394259368131i</v>
      </c>
      <c r="AN541" s="32">
        <f t="shared" si="507"/>
        <v>49.4043809649124</v>
      </c>
      <c r="AO541" s="32">
        <f t="shared" si="508"/>
        <v>-1.55055382447258</v>
      </c>
      <c r="AP541" s="30" t="str">
        <f t="shared" si="509"/>
        <v>2,88883938118153-201,690077053422i</v>
      </c>
      <c r="AQ541" s="32">
        <f t="shared" si="510"/>
        <v>46.0945815143174</v>
      </c>
      <c r="AR541" s="31">
        <f t="shared" si="511"/>
        <v>-89.1793994568857</v>
      </c>
      <c r="AS541" t="str">
        <f t="shared" si="487"/>
        <v>-0,000201496259351621</v>
      </c>
      <c r="AT541" t="str">
        <f t="shared" si="488"/>
        <v>2,39763428829115i</v>
      </c>
      <c r="AU541">
        <f t="shared" si="512"/>
        <v>2.39763428829115</v>
      </c>
      <c r="AV541">
        <f t="shared" si="513"/>
        <v>1.5707963267949</v>
      </c>
      <c r="AW541" t="str">
        <f t="shared" si="489"/>
        <v>1+122,75447786353i</v>
      </c>
      <c r="AX541">
        <f t="shared" si="514"/>
        <v>122.758550967124</v>
      </c>
      <c r="AY541">
        <f t="shared" si="515"/>
        <v>1.56265016465629</v>
      </c>
      <c r="AZ541" t="str">
        <f t="shared" si="490"/>
        <v>1+5868,70876083728i</v>
      </c>
      <c r="BA541">
        <f t="shared" si="516"/>
        <v>5868.7088460349</v>
      </c>
      <c r="BB541">
        <f t="shared" si="517"/>
        <v>1.57062593156299</v>
      </c>
      <c r="BC541" s="30" t="str">
        <f t="shared" si="518"/>
        <v>-0,000032043703666091+0,00401754772603209i</v>
      </c>
      <c r="BD541" s="32">
        <f t="shared" si="519"/>
        <v>-47.9205028375147</v>
      </c>
      <c r="BE541" s="31">
        <f t="shared" si="520"/>
        <v>90.4569777821337</v>
      </c>
      <c r="BF541" s="30" t="str">
        <f t="shared" si="521"/>
        <v>-0,0112944600863415-0,0167592369865395i</v>
      </c>
      <c r="BG541" s="68">
        <f t="shared" si="522"/>
        <v>-33.8887507868581</v>
      </c>
      <c r="BH541" s="31">
        <f t="shared" si="523"/>
        <v>-123.976994683194</v>
      </c>
      <c r="BI541" s="30" t="str">
        <f t="shared" si="476"/>
        <v>0,810206941316143+0,0180689471482287i</v>
      </c>
      <c r="BJ541" s="68">
        <f t="shared" si="524"/>
        <v>-1.82592132319737</v>
      </c>
      <c r="BK541" s="31">
        <f t="shared" si="477"/>
        <v>1.27757832524808</v>
      </c>
      <c r="BL541" s="32">
        <f t="shared" si="525"/>
        <v>-33.8887507868581</v>
      </c>
      <c r="BM541" s="31">
        <f t="shared" si="526"/>
        <v>-123.976994683194</v>
      </c>
      <c r="BO541">
        <f t="shared" si="527"/>
        <v>0</v>
      </c>
      <c r="BP541">
        <f t="shared" si="528"/>
        <v>0</v>
      </c>
    </row>
    <row r="542" spans="14:68">
      <c r="N542" s="7">
        <v>24</v>
      </c>
      <c r="O542" s="18">
        <f t="shared" si="478"/>
        <v>1737800.82874938</v>
      </c>
      <c r="P542" s="86" t="str">
        <f t="shared" si="479"/>
        <v>54,5454545454545</v>
      </c>
      <c r="Q542" s="4" t="str">
        <f t="shared" si="480"/>
        <v>1+22234,901072878i</v>
      </c>
      <c r="R542" s="4">
        <f t="shared" si="491"/>
        <v>22234.9010953652</v>
      </c>
      <c r="S542" s="4">
        <f t="shared" si="492"/>
        <v>1.57075135245496</v>
      </c>
      <c r="T542" s="4" t="str">
        <f t="shared" si="481"/>
        <v>1+171,208738261161i</v>
      </c>
      <c r="U542" s="4">
        <f t="shared" si="493"/>
        <v>171.21165864794</v>
      </c>
      <c r="V542" s="4">
        <f t="shared" si="494"/>
        <v>1.56495556984143</v>
      </c>
      <c r="W542" t="str">
        <f t="shared" si="482"/>
        <v>1-491,351608530117i</v>
      </c>
      <c r="X542" s="4">
        <f t="shared" si="495"/>
        <v>491.352626130291</v>
      </c>
      <c r="Y542" s="4">
        <f t="shared" si="496"/>
        <v>-1.56876112714975</v>
      </c>
      <c r="Z542" t="str">
        <f t="shared" si="483"/>
        <v>-23,6526671053228+33,9266586842224i</v>
      </c>
      <c r="AA542" s="4">
        <f t="shared" si="497"/>
        <v>41.3577904471569</v>
      </c>
      <c r="AB542" s="4">
        <f t="shared" si="498"/>
        <v>2.17962080239766</v>
      </c>
      <c r="AC542" s="67" t="str">
        <f t="shared" si="499"/>
        <v>-4,08256606724961+2,86911990983564i</v>
      </c>
      <c r="AD542" s="68">
        <f t="shared" si="500"/>
        <v>13.9618530207241</v>
      </c>
      <c r="AE542" s="31">
        <f t="shared" si="501"/>
        <v>144.901461551099</v>
      </c>
      <c r="AF542" s="32" t="str">
        <f t="shared" si="502"/>
        <v>432,040091031901</v>
      </c>
      <c r="AG542" s="32" t="str">
        <f t="shared" si="484"/>
        <v>1+18117,3268001228i</v>
      </c>
      <c r="AH542" s="32">
        <f t="shared" si="503"/>
        <v>18117.3268277207</v>
      </c>
      <c r="AI542" s="32">
        <f t="shared" si="504"/>
        <v>1.57074113101408</v>
      </c>
      <c r="AJ542" s="32" t="str">
        <f t="shared" si="485"/>
        <v>1+171,208738261161i</v>
      </c>
      <c r="AK542" s="32">
        <f t="shared" si="505"/>
        <v>171.21165864794</v>
      </c>
      <c r="AL542" s="32">
        <f t="shared" si="506"/>
        <v>1.56495556984143</v>
      </c>
      <c r="AM542" s="32" t="str">
        <f t="shared" si="486"/>
        <v>1-50,5447994703062i</v>
      </c>
      <c r="AN542" s="32">
        <f t="shared" si="507"/>
        <v>50.5546907170192</v>
      </c>
      <c r="AO542" s="32">
        <f t="shared" si="508"/>
        <v>-1.55101447848275</v>
      </c>
      <c r="AP542" s="30" t="str">
        <f t="shared" si="509"/>
        <v>2,88883931956371-206,386926111466i</v>
      </c>
      <c r="AQ542" s="32">
        <f t="shared" si="510"/>
        <v>46.294494449389</v>
      </c>
      <c r="AR542" s="31">
        <f t="shared" si="511"/>
        <v>-89.198071818054</v>
      </c>
      <c r="AS542" t="str">
        <f t="shared" si="487"/>
        <v>-0,000201496259351621</v>
      </c>
      <c r="AT542" t="str">
        <f t="shared" si="488"/>
        <v>2,45348236526039i</v>
      </c>
      <c r="AU542">
        <f t="shared" si="512"/>
        <v>2.45348236526039</v>
      </c>
      <c r="AV542">
        <f t="shared" si="513"/>
        <v>1.5707963267949</v>
      </c>
      <c r="AW542" t="str">
        <f t="shared" si="489"/>
        <v>1+125,613796968833i</v>
      </c>
      <c r="AX542">
        <f t="shared" si="514"/>
        <v>125.617777360241</v>
      </c>
      <c r="AY542">
        <f t="shared" si="515"/>
        <v>1.56283558601979</v>
      </c>
      <c r="AZ542" t="str">
        <f t="shared" si="490"/>
        <v>1+6005,40854870142i</v>
      </c>
      <c r="BA542">
        <f t="shared" si="516"/>
        <v>6005.4086319597</v>
      </c>
      <c r="BB542">
        <f t="shared" si="517"/>
        <v>1.57062981023193</v>
      </c>
      <c r="BC542" s="30" t="str">
        <f t="shared" si="518"/>
        <v>-0,0000306015908252309+0,00392610865537393i</v>
      </c>
      <c r="BD542" s="32">
        <f t="shared" si="519"/>
        <v>-48.1204898724273</v>
      </c>
      <c r="BE542" s="31">
        <f t="shared" si="520"/>
        <v>90.4465761519343</v>
      </c>
      <c r="BF542" s="30" t="str">
        <f t="shared" si="521"/>
        <v>-0,0111395434950044-0,0161163976062739i</v>
      </c>
      <c r="BG542" s="68">
        <f t="shared" si="522"/>
        <v>-34.1586368517033</v>
      </c>
      <c r="BH542" s="31">
        <f t="shared" si="523"/>
        <v>-124.651962296967</v>
      </c>
      <c r="BI542" s="30" t="str">
        <f t="shared" si="476"/>
        <v>0,810209093883429+0,0176576653210639i</v>
      </c>
      <c r="BJ542" s="68">
        <f t="shared" si="524"/>
        <v>-1.82599542303836</v>
      </c>
      <c r="BK542" s="31">
        <f t="shared" si="477"/>
        <v>1.2485043338803</v>
      </c>
      <c r="BL542" s="32">
        <f t="shared" si="525"/>
        <v>-34.1586368517033</v>
      </c>
      <c r="BM542" s="31">
        <f t="shared" si="526"/>
        <v>-124.651962296967</v>
      </c>
      <c r="BO542">
        <f t="shared" si="527"/>
        <v>0</v>
      </c>
      <c r="BP542">
        <f t="shared" si="528"/>
        <v>0</v>
      </c>
    </row>
    <row r="543" spans="14:68">
      <c r="N543" s="7">
        <v>25</v>
      </c>
      <c r="O543" s="18">
        <f t="shared" si="478"/>
        <v>1778279.41003892</v>
      </c>
      <c r="P543" s="86" t="str">
        <f t="shared" si="479"/>
        <v>54,5454545454545</v>
      </c>
      <c r="Q543" s="4" t="str">
        <f t="shared" si="480"/>
        <v>1+22752,8184519318i</v>
      </c>
      <c r="R543" s="4">
        <f t="shared" si="491"/>
        <v>22752.8184739071</v>
      </c>
      <c r="S543" s="4">
        <f t="shared" si="492"/>
        <v>1.57075237619592</v>
      </c>
      <c r="T543" s="4" t="str">
        <f t="shared" si="481"/>
        <v>1+175,196702079875i</v>
      </c>
      <c r="U543" s="4">
        <f t="shared" si="493"/>
        <v>175.19955599163</v>
      </c>
      <c r="V543" s="4">
        <f t="shared" si="494"/>
        <v>1.56508851878017</v>
      </c>
      <c r="W543" t="str">
        <f t="shared" si="482"/>
        <v>1-502,796657754743i</v>
      </c>
      <c r="X543" s="4">
        <f t="shared" si="495"/>
        <v>502.797652191555</v>
      </c>
      <c r="Y543" s="4">
        <f t="shared" si="496"/>
        <v>-1.568807453826</v>
      </c>
      <c r="Z543" t="str">
        <f t="shared" si="483"/>
        <v>-24,8145115115786+34,7169120830656i</v>
      </c>
      <c r="AA543" s="4">
        <f t="shared" si="497"/>
        <v>42.6734573961564</v>
      </c>
      <c r="AB543" s="4">
        <f t="shared" si="498"/>
        <v>2.19136458981176</v>
      </c>
      <c r="AC543" s="67" t="str">
        <f t="shared" si="499"/>
        <v>-4,01540918629336+2,89243735222499i</v>
      </c>
      <c r="AD543" s="68">
        <f t="shared" si="500"/>
        <v>13.8898354961759</v>
      </c>
      <c r="AE543" s="31">
        <f t="shared" si="501"/>
        <v>144.233496530788</v>
      </c>
      <c r="AF543" s="32" t="str">
        <f t="shared" si="502"/>
        <v>432,040091031901</v>
      </c>
      <c r="AG543" s="32" t="str">
        <f t="shared" si="484"/>
        <v>1+18539,3335534259i</v>
      </c>
      <c r="AH543" s="32">
        <f t="shared" si="503"/>
        <v>18539.3335803956</v>
      </c>
      <c r="AI543" s="32">
        <f t="shared" si="504"/>
        <v>1.57074238742344</v>
      </c>
      <c r="AJ543" s="32" t="str">
        <f t="shared" si="485"/>
        <v>1+175,196702079875i</v>
      </c>
      <c r="AK543" s="32">
        <f t="shared" si="505"/>
        <v>175.19955599163</v>
      </c>
      <c r="AL543" s="32">
        <f t="shared" si="506"/>
        <v>1.56508851878017</v>
      </c>
      <c r="AM543" s="32" t="str">
        <f t="shared" si="486"/>
        <v>1-51,7221390942001i</v>
      </c>
      <c r="AN543" s="32">
        <f t="shared" si="507"/>
        <v>51.7318052312094</v>
      </c>
      <c r="AO543" s="32">
        <f t="shared" si="508"/>
        <v>-1.55146465484113</v>
      </c>
      <c r="AP543" s="30" t="str">
        <f t="shared" si="509"/>
        <v>2,88883926071916-211,193204249588i</v>
      </c>
      <c r="AQ543" s="32">
        <f t="shared" si="510"/>
        <v>46.4944113016388</v>
      </c>
      <c r="AR543" s="31">
        <f t="shared" si="511"/>
        <v>-89.2163195972989</v>
      </c>
      <c r="AS543" t="str">
        <f t="shared" si="487"/>
        <v>-0,000201496259351621</v>
      </c>
      <c r="AT543" t="str">
        <f t="shared" si="488"/>
        <v>2,51063131105535i</v>
      </c>
      <c r="AU543">
        <f t="shared" si="512"/>
        <v>2.51063131105535</v>
      </c>
      <c r="AV543">
        <f t="shared" si="513"/>
        <v>1.5707963267949</v>
      </c>
      <c r="AW543" t="str">
        <f t="shared" si="489"/>
        <v>1+128,539718171983i</v>
      </c>
      <c r="AX543">
        <f t="shared" si="514"/>
        <v>128.543607961395</v>
      </c>
      <c r="AY543">
        <f t="shared" si="515"/>
        <v>1.56301678720671</v>
      </c>
      <c r="AZ543" t="str">
        <f t="shared" si="490"/>
        <v>1+6145,29248366907i</v>
      </c>
      <c r="BA543">
        <f t="shared" si="516"/>
        <v>6145.29256503216</v>
      </c>
      <c r="BB543">
        <f t="shared" si="517"/>
        <v>1.57063360061159</v>
      </c>
      <c r="BC543" s="30" t="str">
        <f t="shared" si="518"/>
        <v>-0,000029224375712682+0,00383675022586385i</v>
      </c>
      <c r="BD543" s="32">
        <f t="shared" si="519"/>
        <v>-48.3204774908287</v>
      </c>
      <c r="BE543" s="31">
        <f t="shared" si="520"/>
        <v>90.4364112614382</v>
      </c>
      <c r="BF543" s="30" t="str">
        <f t="shared" si="521"/>
        <v>-0,0109802118377459-0,0154906517783536i</v>
      </c>
      <c r="BG543" s="68">
        <f t="shared" si="522"/>
        <v>-34.4306419946528</v>
      </c>
      <c r="BH543" s="31">
        <f t="shared" si="523"/>
        <v>-125.330092207774</v>
      </c>
      <c r="BI543" s="30" t="str">
        <f t="shared" si="476"/>
        <v>0,810211149581588+0,0172557442350037i</v>
      </c>
      <c r="BJ543" s="68">
        <f t="shared" si="524"/>
        <v>-1.82606618918986</v>
      </c>
      <c r="BK543" s="31">
        <f t="shared" si="477"/>
        <v>1.22009166413934</v>
      </c>
      <c r="BL543" s="32">
        <f t="shared" si="525"/>
        <v>-34.4306419946528</v>
      </c>
      <c r="BM543" s="31">
        <f t="shared" si="526"/>
        <v>-125.330092207774</v>
      </c>
      <c r="BO543">
        <f t="shared" si="527"/>
        <v>0</v>
      </c>
      <c r="BP543">
        <f t="shared" si="528"/>
        <v>0</v>
      </c>
    </row>
    <row r="544" spans="14:68">
      <c r="N544" s="7">
        <v>26</v>
      </c>
      <c r="O544" s="18">
        <f t="shared" si="478"/>
        <v>1819700.85860998</v>
      </c>
      <c r="P544" s="86" t="str">
        <f t="shared" si="479"/>
        <v>54,5454545454545</v>
      </c>
      <c r="Q544" s="4" t="str">
        <f t="shared" si="480"/>
        <v>1+23282,799676498i</v>
      </c>
      <c r="R544" s="4">
        <f t="shared" si="491"/>
        <v>23282.7996979731</v>
      </c>
      <c r="S544" s="4">
        <f t="shared" si="492"/>
        <v>1.57075337663369</v>
      </c>
      <c r="T544" s="4" t="str">
        <f t="shared" si="481"/>
        <v>1+179,277557509035i</v>
      </c>
      <c r="U544" s="4">
        <f t="shared" si="493"/>
        <v>179.28034645885</v>
      </c>
      <c r="V544" s="4">
        <f t="shared" si="494"/>
        <v>1.56521844162657</v>
      </c>
      <c r="W544" t="str">
        <f t="shared" si="482"/>
        <v>1-514,508296422614i</v>
      </c>
      <c r="X544" s="4">
        <f t="shared" si="495"/>
        <v>514.509268223324</v>
      </c>
      <c r="Y544" s="4">
        <f t="shared" si="496"/>
        <v>-1.56885272598659</v>
      </c>
      <c r="Z544" t="str">
        <f t="shared" si="483"/>
        <v>-26,0311119577626+35,5255728482281i</v>
      </c>
      <c r="AA544" s="4">
        <f t="shared" si="497"/>
        <v>44.0418564090154</v>
      </c>
      <c r="AB544" s="4">
        <f t="shared" si="498"/>
        <v>2.20316111390786</v>
      </c>
      <c r="AC544" s="67" t="str">
        <f t="shared" si="499"/>
        <v>-3,94740726624886+2,9142802770196i</v>
      </c>
      <c r="AD544" s="68">
        <f t="shared" si="500"/>
        <v>13.8156726375644</v>
      </c>
      <c r="AE544" s="31">
        <f t="shared" si="501"/>
        <v>143.562398293325</v>
      </c>
      <c r="AF544" s="32" t="str">
        <f t="shared" si="502"/>
        <v>432,040091031901</v>
      </c>
      <c r="AG544" s="32" t="str">
        <f t="shared" si="484"/>
        <v>1+18971,1701067762i</v>
      </c>
      <c r="AH544" s="32">
        <f t="shared" si="503"/>
        <v>18971.170133132</v>
      </c>
      <c r="AI544" s="32">
        <f t="shared" si="504"/>
        <v>1.57074361523344</v>
      </c>
      <c r="AJ544" s="32" t="str">
        <f t="shared" si="485"/>
        <v>1+179,277557509035i</v>
      </c>
      <c r="AK544" s="32">
        <f t="shared" si="505"/>
        <v>179.28034645885</v>
      </c>
      <c r="AL544" s="32">
        <f t="shared" si="506"/>
        <v>1.56521844162657</v>
      </c>
      <c r="AM544" s="32" t="str">
        <f t="shared" si="486"/>
        <v>1-52,9269024808654i</v>
      </c>
      <c r="AN544" s="32">
        <f t="shared" si="507"/>
        <v>52.9363486294534</v>
      </c>
      <c r="AO544" s="32">
        <f t="shared" si="508"/>
        <v>-1.5519045915069</v>
      </c>
      <c r="AP544" s="30" t="str">
        <f t="shared" si="509"/>
        <v>2,88883920452305-216,111459820076i</v>
      </c>
      <c r="AQ544" s="32">
        <f t="shared" si="510"/>
        <v>46.6943318948871</v>
      </c>
      <c r="AR544" s="31">
        <f t="shared" si="511"/>
        <v>-89.2341524290703</v>
      </c>
      <c r="AS544" t="str">
        <f t="shared" si="487"/>
        <v>-0,000201496259351621</v>
      </c>
      <c r="AT544" t="str">
        <f t="shared" si="488"/>
        <v>2,56911142680358i</v>
      </c>
      <c r="AU544">
        <f t="shared" si="512"/>
        <v>2.56911142680358</v>
      </c>
      <c r="AV544">
        <f t="shared" si="513"/>
        <v>1.5707963267949</v>
      </c>
      <c r="AW544" t="str">
        <f t="shared" si="489"/>
        <v>1+131,533792835134i</v>
      </c>
      <c r="AX544">
        <f t="shared" si="514"/>
        <v>131.537594084718</v>
      </c>
      <c r="AY544">
        <f t="shared" si="515"/>
        <v>1.56319386424471</v>
      </c>
      <c r="AZ544" t="str">
        <f t="shared" si="490"/>
        <v>1+6288,43473405416i</v>
      </c>
      <c r="BA544">
        <f t="shared" si="516"/>
        <v>6288.4348135652</v>
      </c>
      <c r="BB544">
        <f t="shared" si="517"/>
        <v>1.57063730471168</v>
      </c>
      <c r="BC544" s="30" t="str">
        <f t="shared" si="518"/>
        <v>-0,0000279091381570047+0,00374942512746166i</v>
      </c>
      <c r="BD544" s="32">
        <f t="shared" si="519"/>
        <v>-48.5204656664609</v>
      </c>
      <c r="BE544" s="31">
        <f t="shared" si="520"/>
        <v>90.4264777238145</v>
      </c>
      <c r="BF544" s="30" t="str">
        <f t="shared" si="521"/>
        <v>-0,0108167069643675-0,0148818430432778i</v>
      </c>
      <c r="BG544" s="68">
        <f t="shared" si="522"/>
        <v>-34.7047930288965</v>
      </c>
      <c r="BH544" s="31">
        <f t="shared" si="523"/>
        <v>-126.011123982861</v>
      </c>
      <c r="BI544" s="30" t="str">
        <f t="shared" si="476"/>
        <v>0,810213112769341+0,0168629708920655i</v>
      </c>
      <c r="BJ544" s="68">
        <f t="shared" si="524"/>
        <v>-1.82613377157384</v>
      </c>
      <c r="BK544" s="31">
        <f t="shared" si="477"/>
        <v>1.1923252947442</v>
      </c>
      <c r="BL544" s="32">
        <f t="shared" si="525"/>
        <v>-34.7047930288965</v>
      </c>
      <c r="BM544" s="31">
        <f t="shared" si="526"/>
        <v>-126.011123982861</v>
      </c>
      <c r="BO544">
        <f t="shared" si="527"/>
        <v>0</v>
      </c>
      <c r="BP544">
        <f t="shared" si="528"/>
        <v>0</v>
      </c>
    </row>
    <row r="545" spans="14:68">
      <c r="N545" s="7">
        <v>27</v>
      </c>
      <c r="O545" s="18">
        <f t="shared" si="478"/>
        <v>1862087.13666287</v>
      </c>
      <c r="P545" s="86" t="str">
        <f t="shared" si="479"/>
        <v>54,5454545454545</v>
      </c>
      <c r="Q545" s="4" t="str">
        <f t="shared" si="480"/>
        <v>1+23825,1257496372i</v>
      </c>
      <c r="R545" s="4">
        <f t="shared" si="491"/>
        <v>23825.1257706235</v>
      </c>
      <c r="S545" s="4">
        <f t="shared" si="492"/>
        <v>1.57075435429872</v>
      </c>
      <c r="T545" s="4" t="str">
        <f t="shared" si="481"/>
        <v>1+183,453468272207i</v>
      </c>
      <c r="U545" s="4">
        <f t="shared" si="493"/>
        <v>183.456193738728</v>
      </c>
      <c r="V545" s="4">
        <f t="shared" si="494"/>
        <v>1.56534540724988</v>
      </c>
      <c r="W545" t="str">
        <f t="shared" si="482"/>
        <v>1-526,492734199574i</v>
      </c>
      <c r="X545" s="4">
        <f t="shared" si="495"/>
        <v>526.49368387944</v>
      </c>
      <c r="Y545" s="4">
        <f t="shared" si="496"/>
        <v>-1.5688969676347</v>
      </c>
      <c r="Z545" t="str">
        <f t="shared" si="483"/>
        <v>-27,3050490165336+36,3530697423515i</v>
      </c>
      <c r="AA545" s="4">
        <f t="shared" si="497"/>
        <v>45.4654966044315</v>
      </c>
      <c r="AB545" s="4">
        <f t="shared" si="498"/>
        <v>2.2150056071229</v>
      </c>
      <c r="AC545" s="67" t="str">
        <f t="shared" si="499"/>
        <v>-3,87861876778966+2,93460640662367i</v>
      </c>
      <c r="AD545" s="68">
        <f t="shared" si="500"/>
        <v>13.739339368878</v>
      </c>
      <c r="AE545" s="31">
        <f t="shared" si="501"/>
        <v>142.888442540196</v>
      </c>
      <c r="AF545" s="32" t="str">
        <f t="shared" si="502"/>
        <v>432,040091031901</v>
      </c>
      <c r="AG545" s="32" t="str">
        <f t="shared" si="484"/>
        <v>1+19413,0654256303i</v>
      </c>
      <c r="AH545" s="32">
        <f t="shared" si="503"/>
        <v>19413.0654513861</v>
      </c>
      <c r="AI545" s="32">
        <f t="shared" si="504"/>
        <v>1.57074481509506</v>
      </c>
      <c r="AJ545" s="32" t="str">
        <f t="shared" si="485"/>
        <v>1+183,453468272207i</v>
      </c>
      <c r="AK545" s="32">
        <f t="shared" si="505"/>
        <v>183.456193738728</v>
      </c>
      <c r="AL545" s="32">
        <f t="shared" si="506"/>
        <v>1.56534540724988</v>
      </c>
      <c r="AM545" s="32" t="str">
        <f t="shared" si="486"/>
        <v>1-54,1597284117969i</v>
      </c>
      <c r="AN545" s="32">
        <f t="shared" si="507"/>
        <v>54.168959576861</v>
      </c>
      <c r="AO545" s="32">
        <f t="shared" si="508"/>
        <v>-1.55233452105874</v>
      </c>
      <c r="AP545" s="30" t="str">
        <f t="shared" si="509"/>
        <v>2,8888391508562-221,144300547137i</v>
      </c>
      <c r="AQ545" s="32">
        <f t="shared" si="510"/>
        <v>46.8942560608726</v>
      </c>
      <c r="AR545" s="31">
        <f t="shared" si="511"/>
        <v>-89.2515797305266</v>
      </c>
      <c r="AS545" t="str">
        <f t="shared" si="487"/>
        <v>-0,000201496259351621</v>
      </c>
      <c r="AT545" t="str">
        <f t="shared" si="488"/>
        <v>2,62895371943653i</v>
      </c>
      <c r="AU545">
        <f t="shared" si="512"/>
        <v>2.62895371943653</v>
      </c>
      <c r="AV545">
        <f t="shared" si="513"/>
        <v>1.5707963267949</v>
      </c>
      <c r="AW545" t="str">
        <f t="shared" si="489"/>
        <v>1+134,597608456302i</v>
      </c>
      <c r="AX545">
        <f t="shared" si="514"/>
        <v>134.601323181297</v>
      </c>
      <c r="AY545">
        <f t="shared" si="515"/>
        <v>1.56336691097792</v>
      </c>
      <c r="AZ545" t="str">
        <f t="shared" si="490"/>
        <v>1+6434,91119577256i</v>
      </c>
      <c r="BA545">
        <f t="shared" si="516"/>
        <v>6434.91127347371</v>
      </c>
      <c r="BB545">
        <f t="shared" si="517"/>
        <v>1.57064092449617</v>
      </c>
      <c r="BC545" s="30" t="str">
        <f t="shared" si="518"/>
        <v>-0,0000266530893538836+0,00366408712362306i</v>
      </c>
      <c r="BD545" s="32">
        <f t="shared" si="519"/>
        <v>-48.7204543742473</v>
      </c>
      <c r="BE545" s="31">
        <f t="shared" si="520"/>
        <v>90.4167702747166</v>
      </c>
      <c r="BF545" s="30" t="str">
        <f t="shared" si="521"/>
        <v>-0,010649276374824-0,0142898134112751i</v>
      </c>
      <c r="BG545" s="68">
        <f t="shared" si="522"/>
        <v>-34.9811150053693</v>
      </c>
      <c r="BH545" s="31">
        <f t="shared" si="523"/>
        <v>-126.694787185088</v>
      </c>
      <c r="BI545" s="30" t="str">
        <f t="shared" si="476"/>
        <v>0,810214987609376+0,0164791371374553i</v>
      </c>
      <c r="BJ545" s="68">
        <f t="shared" si="524"/>
        <v>-1.82619831337465</v>
      </c>
      <c r="BK545" s="31">
        <f t="shared" si="477"/>
        <v>1.16519054418998</v>
      </c>
      <c r="BL545" s="32">
        <f t="shared" si="525"/>
        <v>-34.9811150053693</v>
      </c>
      <c r="BM545" s="31">
        <f t="shared" si="526"/>
        <v>-126.694787185088</v>
      </c>
      <c r="BO545">
        <f t="shared" si="527"/>
        <v>0</v>
      </c>
      <c r="BP545">
        <f t="shared" si="528"/>
        <v>0</v>
      </c>
    </row>
    <row r="546" spans="14:68">
      <c r="N546" s="7">
        <v>28</v>
      </c>
      <c r="O546" s="18">
        <f t="shared" si="478"/>
        <v>1905460.71796325</v>
      </c>
      <c r="P546" s="86" t="str">
        <f t="shared" si="479"/>
        <v>54,5454545454545</v>
      </c>
      <c r="Q546" s="4" t="str">
        <f t="shared" si="480"/>
        <v>1+24380,0842198115i</v>
      </c>
      <c r="R546" s="4">
        <f t="shared" si="491"/>
        <v>24380.08424032</v>
      </c>
      <c r="S546" s="4">
        <f t="shared" si="492"/>
        <v>1.57075530970938</v>
      </c>
      <c r="T546" s="4" t="str">
        <f t="shared" si="481"/>
        <v>1+187,726648492549i</v>
      </c>
      <c r="U546" s="4">
        <f t="shared" si="493"/>
        <v>187.729311920768</v>
      </c>
      <c r="V546" s="4">
        <f t="shared" si="494"/>
        <v>1.56546948295259</v>
      </c>
      <c r="W546" t="str">
        <f t="shared" si="482"/>
        <v>1-538,756325393158i</v>
      </c>
      <c r="X546" s="4">
        <f t="shared" si="495"/>
        <v>538.757253455708</v>
      </c>
      <c r="Y546" s="4">
        <f t="shared" si="496"/>
        <v>-1.56894020222713</v>
      </c>
      <c r="Z546" t="str">
        <f t="shared" si="483"/>
        <v>-28,6390248791925+37,1998415152418i</v>
      </c>
      <c r="AA546" s="4">
        <f t="shared" si="497"/>
        <v>46.9470122030158</v>
      </c>
      <c r="AB546" s="4">
        <f t="shared" si="498"/>
        <v>2.22689313874958</v>
      </c>
      <c r="AC546" s="67" t="str">
        <f t="shared" si="499"/>
        <v>-3,80910512492793+2,9533763522901i</v>
      </c>
      <c r="AD546" s="68">
        <f t="shared" si="500"/>
        <v>13.6608124753046</v>
      </c>
      <c r="AE546" s="31">
        <f t="shared" si="501"/>
        <v>142.21191426259</v>
      </c>
      <c r="AF546" s="32" t="str">
        <f t="shared" si="502"/>
        <v>432,040091031901</v>
      </c>
      <c r="AG546" s="32" t="str">
        <f t="shared" si="484"/>
        <v>1+19865,2538087353i</v>
      </c>
      <c r="AH546" s="32">
        <f t="shared" si="503"/>
        <v>19865.2538339049</v>
      </c>
      <c r="AI546" s="32">
        <f t="shared" si="504"/>
        <v>1.5707459876445</v>
      </c>
      <c r="AJ546" s="32" t="str">
        <f t="shared" si="485"/>
        <v>1+187,726648492549i</v>
      </c>
      <c r="AK546" s="32">
        <f t="shared" si="505"/>
        <v>187.729311920768</v>
      </c>
      <c r="AL546" s="32">
        <f t="shared" si="506"/>
        <v>1.56546948295259</v>
      </c>
      <c r="AM546" s="32" t="str">
        <f t="shared" si="486"/>
        <v>1-55,4212705476206i</v>
      </c>
      <c r="AN546" s="32">
        <f t="shared" si="507"/>
        <v>55.4302916203095</v>
      </c>
      <c r="AO546" s="32">
        <f t="shared" si="508"/>
        <v>-1.55275467081489</v>
      </c>
      <c r="AP546" s="30" t="str">
        <f t="shared" si="509"/>
        <v>2,88883909960474-226,294394909536i</v>
      </c>
      <c r="AQ546" s="32">
        <f t="shared" si="510"/>
        <v>47.0941836388971</v>
      </c>
      <c r="AR546" s="31">
        <f t="shared" si="511"/>
        <v>-89.2686107063461</v>
      </c>
      <c r="AS546" t="str">
        <f t="shared" si="487"/>
        <v>-0,000201496259351621</v>
      </c>
      <c r="AT546" t="str">
        <f t="shared" si="488"/>
        <v>2,69018991812982i</v>
      </c>
      <c r="AU546">
        <f t="shared" si="512"/>
        <v>2.69018991812982</v>
      </c>
      <c r="AV546">
        <f t="shared" si="513"/>
        <v>1.5707963267949</v>
      </c>
      <c r="AW546" t="str">
        <f t="shared" si="489"/>
        <v>1+137,732789511083i</v>
      </c>
      <c r="AX546">
        <f t="shared" si="514"/>
        <v>137.736419680868</v>
      </c>
      <c r="AY546">
        <f t="shared" si="515"/>
        <v>1.56353601911654</v>
      </c>
      <c r="AZ546" t="str">
        <f t="shared" si="490"/>
        <v>1+6584,79953258302i</v>
      </c>
      <c r="BA546">
        <f t="shared" si="516"/>
        <v>6584.79960851547</v>
      </c>
      <c r="BB546">
        <f t="shared" si="517"/>
        <v>1.5706444618843</v>
      </c>
      <c r="BC546" s="30" t="str">
        <f t="shared" si="518"/>
        <v>-0,000025453565959106+0,00358069102709129i</v>
      </c>
      <c r="BD546" s="32">
        <f t="shared" si="519"/>
        <v>-48.9204435902395</v>
      </c>
      <c r="BE546" s="31">
        <f t="shared" si="520"/>
        <v>90.4072837695031</v>
      </c>
      <c r="BF546" s="30" t="str">
        <f t="shared" si="521"/>
        <v>-0,0104781728957262-0,013714402501862i</v>
      </c>
      <c r="BG546" s="68">
        <f t="shared" si="522"/>
        <v>-35.2596311149349</v>
      </c>
      <c r="BH546" s="31">
        <f t="shared" si="523"/>
        <v>-127.380801967906</v>
      </c>
      <c r="BI546" s="30" t="str">
        <f t="shared" si="476"/>
        <v>0,810216778077061+0,016104039549671i</v>
      </c>
      <c r="BJ546" s="68">
        <f t="shared" si="524"/>
        <v>-1.82625995134244</v>
      </c>
      <c r="BK546" s="31">
        <f t="shared" si="477"/>
        <v>1.13867306315697</v>
      </c>
      <c r="BL546" s="32">
        <f t="shared" si="525"/>
        <v>-35.2596311149349</v>
      </c>
      <c r="BM546" s="31">
        <f t="shared" si="526"/>
        <v>-127.380801967906</v>
      </c>
      <c r="BO546">
        <f t="shared" si="527"/>
        <v>0</v>
      </c>
      <c r="BP546">
        <f t="shared" si="528"/>
        <v>0</v>
      </c>
    </row>
    <row r="547" spans="14:68">
      <c r="N547" s="7">
        <v>29</v>
      </c>
      <c r="O547" s="18">
        <f t="shared" si="478"/>
        <v>1949844.59975805</v>
      </c>
      <c r="P547" s="86" t="str">
        <f t="shared" si="479"/>
        <v>54,5454545454545</v>
      </c>
      <c r="Q547" s="4" t="str">
        <f t="shared" si="480"/>
        <v>1+24947,9693333476i</v>
      </c>
      <c r="R547" s="4">
        <f t="shared" si="491"/>
        <v>24947.9693533893</v>
      </c>
      <c r="S547" s="4">
        <f t="shared" si="492"/>
        <v>1.57075624337223</v>
      </c>
      <c r="T547" s="4" t="str">
        <f t="shared" si="481"/>
        <v>1+192,099363866777i</v>
      </c>
      <c r="U547" s="4">
        <f t="shared" si="493"/>
        <v>192.101966668799</v>
      </c>
      <c r="V547" s="4">
        <f t="shared" si="494"/>
        <v>1.56559073450597</v>
      </c>
      <c r="W547" t="str">
        <f t="shared" si="482"/>
        <v>1-551,305572321745i</v>
      </c>
      <c r="X547" s="4">
        <f t="shared" si="495"/>
        <v>551.306479259048</v>
      </c>
      <c r="Y547" s="4">
        <f t="shared" si="496"/>
        <v>-1.56898245268679</v>
      </c>
      <c r="Z547" t="str">
        <f t="shared" si="483"/>
        <v>-30,0358690873928+38,0663371365014i</v>
      </c>
      <c r="AA547" s="4">
        <f t="shared" si="497"/>
        <v>48.4891684278539</v>
      </c>
      <c r="AB547" s="4">
        <f t="shared" si="498"/>
        <v>2.23881862618793</v>
      </c>
      <c r="AC547" s="67" t="str">
        <f t="shared" si="499"/>
        <v>-3,73893055734914+2,97055385565151i</v>
      </c>
      <c r="AD547" s="68">
        <f t="shared" si="500"/>
        <v>13.5800706953885</v>
      </c>
      <c r="AE547" s="31">
        <f t="shared" si="501"/>
        <v>141.533107098043</v>
      </c>
      <c r="AF547" s="32" t="str">
        <f t="shared" si="502"/>
        <v>432,040091031901</v>
      </c>
      <c r="AG547" s="32" t="str">
        <f t="shared" si="484"/>
        <v>1+20327,9750123573i</v>
      </c>
      <c r="AH547" s="32">
        <f t="shared" si="503"/>
        <v>20327.9750369539</v>
      </c>
      <c r="AI547" s="32">
        <f t="shared" si="504"/>
        <v>1.57074713350346</v>
      </c>
      <c r="AJ547" s="32" t="str">
        <f t="shared" si="485"/>
        <v>1+192,099363866777i</v>
      </c>
      <c r="AK547" s="32">
        <f t="shared" si="505"/>
        <v>192.101966668799</v>
      </c>
      <c r="AL547" s="32">
        <f t="shared" si="506"/>
        <v>1.56559073450597</v>
      </c>
      <c r="AM547" s="32" t="str">
        <f t="shared" si="486"/>
        <v>1-56,7121977746755i</v>
      </c>
      <c r="AN547" s="32">
        <f t="shared" si="507"/>
        <v>56.721013534967</v>
      </c>
      <c r="AO547" s="32">
        <f t="shared" si="508"/>
        <v>-1.55316526295061</v>
      </c>
      <c r="AP547" s="30" t="str">
        <f t="shared" si="509"/>
        <v>2,88883905065998-231,564473555474i</v>
      </c>
      <c r="AQ547" s="32">
        <f t="shared" si="510"/>
        <v>47.2941144754863</v>
      </c>
      <c r="AR547" s="31">
        <f t="shared" si="511"/>
        <v>-89.2852543534382</v>
      </c>
      <c r="AS547" t="str">
        <f t="shared" si="487"/>
        <v>-0,000201496259351621</v>
      </c>
      <c r="AT547" t="str">
        <f t="shared" si="488"/>
        <v>2,75285249112658i</v>
      </c>
      <c r="AU547">
        <f t="shared" si="512"/>
        <v>2.75285249112658</v>
      </c>
      <c r="AV547">
        <f t="shared" si="513"/>
        <v>1.5707963267949</v>
      </c>
      <c r="AW547" t="str">
        <f t="shared" si="489"/>
        <v>1+140,94099831397i</v>
      </c>
      <c r="AX547">
        <f t="shared" si="514"/>
        <v>140.944545853107</v>
      </c>
      <c r="AY547">
        <f t="shared" si="515"/>
        <v>1.56370127828522</v>
      </c>
      <c r="AZ547" t="str">
        <f t="shared" si="490"/>
        <v>1+6738,17921726575i</v>
      </c>
      <c r="BA547">
        <f t="shared" si="516"/>
        <v>6738.17929146977</v>
      </c>
      <c r="BB547">
        <f t="shared" si="517"/>
        <v>1.57064791875165</v>
      </c>
      <c r="BC547" s="30" t="str">
        <f t="shared" si="518"/>
        <v>-0,0000243080244469208+0,0034991926762251i</v>
      </c>
      <c r="BD547" s="32">
        <f t="shared" si="519"/>
        <v>-49.120433291567</v>
      </c>
      <c r="BE547" s="31">
        <f t="shared" si="520"/>
        <v>90.3980131805211</v>
      </c>
      <c r="BF547" s="30" t="str">
        <f t="shared" si="521"/>
        <v>-0,0103036542806346-0,0131554467189344i</v>
      </c>
      <c r="BG547" s="68">
        <f t="shared" si="522"/>
        <v>-35.5403625961786</v>
      </c>
      <c r="BH547" s="31">
        <f t="shared" si="523"/>
        <v>-128.068879721436</v>
      </c>
      <c r="BI547" s="30" t="str">
        <f t="shared" si="476"/>
        <v>0,810218487968969+0,0157374793330873i</v>
      </c>
      <c r="BJ547" s="68">
        <f t="shared" si="524"/>
        <v>-1.82631881608076</v>
      </c>
      <c r="BK547" s="31">
        <f t="shared" si="477"/>
        <v>1.11275882708291</v>
      </c>
      <c r="BL547" s="32">
        <f t="shared" si="525"/>
        <v>-35.5403625961786</v>
      </c>
      <c r="BM547" s="31">
        <f t="shared" si="526"/>
        <v>-128.068879721436</v>
      </c>
      <c r="BO547">
        <f t="shared" si="527"/>
        <v>0</v>
      </c>
      <c r="BP547">
        <f t="shared" si="528"/>
        <v>0</v>
      </c>
    </row>
    <row r="548" spans="14:68">
      <c r="N548" s="7">
        <v>30</v>
      </c>
      <c r="O548" s="18">
        <f t="shared" si="478"/>
        <v>1995262.31496888</v>
      </c>
      <c r="P548" s="86" t="str">
        <f t="shared" si="479"/>
        <v>54,5454545454545</v>
      </c>
      <c r="Q548" s="4" t="str">
        <f t="shared" si="480"/>
        <v>1+25529,0821904498i</v>
      </c>
      <c r="R548" s="4">
        <f t="shared" si="491"/>
        <v>25529.0822100353</v>
      </c>
      <c r="S548" s="4">
        <f t="shared" si="492"/>
        <v>1.57075715578232</v>
      </c>
      <c r="T548" s="4" t="str">
        <f t="shared" si="481"/>
        <v>1+196,573932866464i</v>
      </c>
      <c r="U548" s="4">
        <f t="shared" si="493"/>
        <v>196.576476422254</v>
      </c>
      <c r="V548" s="4">
        <f t="shared" si="494"/>
        <v>1.56570922618493</v>
      </c>
      <c r="W548" t="str">
        <f t="shared" si="482"/>
        <v>1-564,147128762172i</v>
      </c>
      <c r="X548" s="4">
        <f t="shared" si="495"/>
        <v>564.148015055094</v>
      </c>
      <c r="Y548" s="4">
        <f t="shared" si="496"/>
        <v>-1.56902374141484</v>
      </c>
      <c r="Z548" t="str">
        <f t="shared" si="483"/>
        <v>-31,4985445349795+38,9530160335786i</v>
      </c>
      <c r="AA548" s="4">
        <f t="shared" si="497"/>
        <v>50.0948676606129</v>
      </c>
      <c r="AB548" s="4">
        <f t="shared" si="498"/>
        <v>2.25077684704222</v>
      </c>
      <c r="AC548" s="67" t="str">
        <f t="shared" si="499"/>
        <v>-3,66816186007796+2,98610601599843i</v>
      </c>
      <c r="AD548" s="68">
        <f t="shared" si="500"/>
        <v>13.4970948068501</v>
      </c>
      <c r="AE548" s="31">
        <f t="shared" si="501"/>
        <v>140.852322638613</v>
      </c>
      <c r="AF548" s="32" t="str">
        <f t="shared" si="502"/>
        <v>432,040091031901</v>
      </c>
      <c r="AG548" s="32" t="str">
        <f t="shared" si="484"/>
        <v>1+20801,4743774035i</v>
      </c>
      <c r="AH548" s="32">
        <f t="shared" si="503"/>
        <v>20801.4744014403</v>
      </c>
      <c r="AI548" s="32">
        <f t="shared" si="504"/>
        <v>1.57074825327948</v>
      </c>
      <c r="AJ548" s="32" t="str">
        <f t="shared" si="485"/>
        <v>1+196,573932866464i</v>
      </c>
      <c r="AK548" s="32">
        <f t="shared" si="505"/>
        <v>196.576476422254</v>
      </c>
      <c r="AL548" s="32">
        <f t="shared" si="506"/>
        <v>1.56570922618493</v>
      </c>
      <c r="AM548" s="32" t="str">
        <f t="shared" si="486"/>
        <v>1-58,0331945596657i</v>
      </c>
      <c r="AN548" s="32">
        <f t="shared" si="507"/>
        <v>58.0418096788859</v>
      </c>
      <c r="AO548" s="32">
        <f t="shared" si="508"/>
        <v>-1.55356651461322</v>
      </c>
      <c r="AP548" s="30" t="str">
        <f t="shared" si="509"/>
        <v>2,8888390039181-236,957330750412i</v>
      </c>
      <c r="AQ548" s="32">
        <f t="shared" si="510"/>
        <v>47.4940484240652</v>
      </c>
      <c r="AR548" s="31">
        <f t="shared" si="511"/>
        <v>-89.3015194655564</v>
      </c>
      <c r="AS548" t="str">
        <f t="shared" si="487"/>
        <v>-0,000201496259351621</v>
      </c>
      <c r="AT548" t="str">
        <f t="shared" si="488"/>
        <v>2,81697466295244i</v>
      </c>
      <c r="AU548">
        <f t="shared" si="512"/>
        <v>2.81697466295244</v>
      </c>
      <c r="AV548">
        <f t="shared" si="513"/>
        <v>1.5707963267949</v>
      </c>
      <c r="AW548" t="str">
        <f t="shared" si="489"/>
        <v>1+144,223935899739i</v>
      </c>
      <c r="AX548">
        <f t="shared" si="514"/>
        <v>144.22740268899</v>
      </c>
      <c r="AY548">
        <f t="shared" si="515"/>
        <v>1.56386277607045</v>
      </c>
      <c r="AZ548" t="str">
        <f t="shared" si="490"/>
        <v>1+6895,13157375987i</v>
      </c>
      <c r="BA548">
        <f t="shared" si="516"/>
        <v>6895.1316462748</v>
      </c>
      <c r="BB548">
        <f t="shared" si="517"/>
        <v>1.5706512969311</v>
      </c>
      <c r="BC548" s="30" t="str">
        <f t="shared" si="518"/>
        <v>-0,0000232140357218743+0,00341954891185103i</v>
      </c>
      <c r="BD548" s="32">
        <f t="shared" si="519"/>
        <v>-49.3204234563883</v>
      </c>
      <c r="BE548" s="31">
        <f t="shared" si="520"/>
        <v>90.3889535944518</v>
      </c>
      <c r="BF548" s="30" t="str">
        <f t="shared" si="521"/>
        <v>-0,0101259827372258-0,0126127784688477i</v>
      </c>
      <c r="BG548" s="68">
        <f t="shared" si="522"/>
        <v>-35.8233286495382</v>
      </c>
      <c r="BH548" s="31">
        <f t="shared" si="523"/>
        <v>-128.758723766935</v>
      </c>
      <c r="BI548" s="30" t="str">
        <f t="shared" si="476"/>
        <v>0,810220120910864+0,015379262212961i</v>
      </c>
      <c r="BJ548" s="68">
        <f t="shared" si="524"/>
        <v>-1.82637503232307</v>
      </c>
      <c r="BK548" s="31">
        <f t="shared" si="477"/>
        <v>1.08743412889549</v>
      </c>
      <c r="BL548" s="32">
        <f t="shared" si="525"/>
        <v>-35.8233286495382</v>
      </c>
      <c r="BM548" s="31">
        <f t="shared" si="526"/>
        <v>-128.758723766935</v>
      </c>
      <c r="BO548">
        <f t="shared" si="527"/>
        <v>0</v>
      </c>
      <c r="BP548">
        <f t="shared" si="528"/>
        <v>0</v>
      </c>
    </row>
    <row r="549" spans="14:68">
      <c r="N549" s="7">
        <v>31</v>
      </c>
      <c r="O549" s="18">
        <f t="shared" si="478"/>
        <v>2041737.94466953</v>
      </c>
      <c r="P549" s="86" t="str">
        <f t="shared" si="479"/>
        <v>54,5454545454545</v>
      </c>
      <c r="Q549" s="4" t="str">
        <f t="shared" si="480"/>
        <v>1+26123,7309048466i</v>
      </c>
      <c r="R549" s="4">
        <f t="shared" si="491"/>
        <v>26123.7309239863</v>
      </c>
      <c r="S549" s="4">
        <f t="shared" si="492"/>
        <v>1.57075804742343</v>
      </c>
      <c r="T549" s="4" t="str">
        <f t="shared" si="481"/>
        <v>1+201,152727967319i</v>
      </c>
      <c r="U549" s="4">
        <f t="shared" si="493"/>
        <v>201.155213625435</v>
      </c>
      <c r="V549" s="4">
        <f t="shared" si="494"/>
        <v>1.56582502080203</v>
      </c>
      <c r="W549" t="str">
        <f t="shared" si="482"/>
        <v>1-577,287803477638i</v>
      </c>
      <c r="X549" s="4">
        <f t="shared" si="495"/>
        <v>577.288669596101</v>
      </c>
      <c r="Y549" s="4">
        <f t="shared" si="496"/>
        <v>-1.56906409030252</v>
      </c>
      <c r="Z549" t="str">
        <f t="shared" si="483"/>
        <v>-33,0301537526804+39,8603483353607i</v>
      </c>
      <c r="AA549" s="4">
        <f t="shared" si="497"/>
        <v>51.7671558649111</v>
      </c>
      <c r="AB549" s="4">
        <f t="shared" si="498"/>
        <v>2.2627624520068</v>
      </c>
      <c r="AC549" s="67" t="str">
        <f t="shared" si="499"/>
        <v>-3,59686817173039+3,00000350087479i</v>
      </c>
      <c r="AD549" s="68">
        <f t="shared" si="500"/>
        <v>13.4118677053799</v>
      </c>
      <c r="AE549" s="31">
        <f t="shared" si="501"/>
        <v>140.169869693837</v>
      </c>
      <c r="AF549" s="32" t="str">
        <f t="shared" si="502"/>
        <v>432,040091031901</v>
      </c>
      <c r="AG549" s="32" t="str">
        <f t="shared" si="484"/>
        <v>1+21286,0029595046i</v>
      </c>
      <c r="AH549" s="32">
        <f t="shared" si="503"/>
        <v>21286.0029829942</v>
      </c>
      <c r="AI549" s="32">
        <f t="shared" si="504"/>
        <v>1.57074934756628</v>
      </c>
      <c r="AJ549" s="32" t="str">
        <f t="shared" si="485"/>
        <v>1+201,152727967319i</v>
      </c>
      <c r="AK549" s="32">
        <f t="shared" si="505"/>
        <v>201.155213625435</v>
      </c>
      <c r="AL549" s="32">
        <f t="shared" si="506"/>
        <v>1.56582502080203</v>
      </c>
      <c r="AM549" s="32" t="str">
        <f t="shared" si="486"/>
        <v>1-59,3849613125714i</v>
      </c>
      <c r="AN549" s="32">
        <f t="shared" si="507"/>
        <v>59.3933803558579</v>
      </c>
      <c r="AO549" s="32">
        <f t="shared" si="508"/>
        <v>-1.55395863803455</v>
      </c>
      <c r="AP549" s="30" t="str">
        <f t="shared" si="509"/>
        <v>2,88883895927995-242,475825858613i</v>
      </c>
      <c r="AQ549" s="32">
        <f t="shared" si="510"/>
        <v>47.6939853446483</v>
      </c>
      <c r="AR549" s="31">
        <f t="shared" si="511"/>
        <v>-89.3174146378125</v>
      </c>
      <c r="AS549" t="str">
        <f t="shared" si="487"/>
        <v>-0,000201496259351621</v>
      </c>
      <c r="AT549" t="str">
        <f t="shared" si="488"/>
        <v>2,88259043203168i</v>
      </c>
      <c r="AU549">
        <f t="shared" si="512"/>
        <v>2.88259043203168</v>
      </c>
      <c r="AV549">
        <f t="shared" si="513"/>
        <v>1.5707963267949</v>
      </c>
      <c r="AW549" t="str">
        <f t="shared" si="489"/>
        <v>1+147,583342925352i</v>
      </c>
      <c r="AX549">
        <f t="shared" si="514"/>
        <v>147.586730802678</v>
      </c>
      <c r="AY549">
        <f t="shared" si="515"/>
        <v>1.56402059806676</v>
      </c>
      <c r="AZ549" t="str">
        <f t="shared" si="490"/>
        <v>1+7055,73982028222i</v>
      </c>
      <c r="BA549">
        <f t="shared" si="516"/>
        <v>7055.73989114651</v>
      </c>
      <c r="BB549">
        <f t="shared" si="517"/>
        <v>1.5706545982138</v>
      </c>
      <c r="BC549" s="30" t="str">
        <f t="shared" si="518"/>
        <v>-0,0000221692799727533+0,00334171755462962i</v>
      </c>
      <c r="BD549" s="32">
        <f t="shared" si="519"/>
        <v>-49.5204140638448</v>
      </c>
      <c r="BE549" s="31">
        <f t="shared" si="520"/>
        <v>90.3801002097145</v>
      </c>
      <c r="BF549" s="30" t="str">
        <f t="shared" si="521"/>
        <v>-0,00994542438529943-0,0120862254286901i</v>
      </c>
      <c r="BG549" s="68">
        <f t="shared" si="522"/>
        <v>-36.1085463584649</v>
      </c>
      <c r="BH549" s="31">
        <f t="shared" si="523"/>
        <v>-129.450030096449</v>
      </c>
      <c r="BI549" s="30" t="str">
        <f t="shared" si="476"/>
        <v>0,810221680365357+0,0150291983328079i</v>
      </c>
      <c r="BJ549" s="68">
        <f t="shared" si="524"/>
        <v>-1.8264287191965</v>
      </c>
      <c r="BK549" s="31">
        <f t="shared" si="477"/>
        <v>1.06268557190198</v>
      </c>
      <c r="BL549" s="32">
        <f t="shared" si="525"/>
        <v>-36.1085463584649</v>
      </c>
      <c r="BM549" s="31">
        <f t="shared" si="526"/>
        <v>-129.450030096449</v>
      </c>
      <c r="BO549">
        <f t="shared" si="527"/>
        <v>0</v>
      </c>
      <c r="BP549">
        <f t="shared" si="528"/>
        <v>0</v>
      </c>
    </row>
    <row r="550" spans="14:68">
      <c r="N550" s="7">
        <v>32</v>
      </c>
      <c r="O550" s="18">
        <f t="shared" si="478"/>
        <v>2089296.13085404</v>
      </c>
      <c r="P550" s="86" t="str">
        <f t="shared" si="479"/>
        <v>54,5454545454545</v>
      </c>
      <c r="Q550" s="4" t="str">
        <f t="shared" si="480"/>
        <v>1+26732,2307671578i</v>
      </c>
      <c r="R550" s="4">
        <f t="shared" si="491"/>
        <v>26732.2307858618</v>
      </c>
      <c r="S550" s="4">
        <f t="shared" si="492"/>
        <v>1.5707589187683</v>
      </c>
      <c r="T550" s="4" t="str">
        <f t="shared" si="481"/>
        <v>1+205,838176907116i</v>
      </c>
      <c r="U550" s="4">
        <f t="shared" si="493"/>
        <v>205.840605985421</v>
      </c>
      <c r="V550" s="4">
        <f t="shared" si="494"/>
        <v>1.56593817974066</v>
      </c>
      <c r="W550" t="str">
        <f t="shared" si="482"/>
        <v>1-590,734563827819i</v>
      </c>
      <c r="X550" s="4">
        <f t="shared" si="495"/>
        <v>590.735410231047</v>
      </c>
      <c r="Y550" s="4">
        <f t="shared" si="496"/>
        <v>-1.56910352074285</v>
      </c>
      <c r="Z550" t="str">
        <f t="shared" si="483"/>
        <v>-34,6339454889935+40,7888151214446i</v>
      </c>
      <c r="AA550" s="4">
        <f t="shared" si="497"/>
        <v>53.5092292894035</v>
      </c>
      <c r="AB550" s="4">
        <f t="shared" si="498"/>
        <v>2.27476997847656</v>
      </c>
      <c r="AC550" s="67" t="str">
        <f t="shared" si="499"/>
        <v>-3,52512072289955+3,01222073768628i</v>
      </c>
      <c r="AD550" s="68">
        <f t="shared" si="500"/>
        <v>13.3243744757526</v>
      </c>
      <c r="AE550" s="31">
        <f t="shared" si="501"/>
        <v>139.486063512127</v>
      </c>
      <c r="AF550" s="32" t="str">
        <f t="shared" si="502"/>
        <v>432,040091031901</v>
      </c>
      <c r="AG550" s="32" t="str">
        <f t="shared" si="484"/>
        <v>1+21781,8176621286i</v>
      </c>
      <c r="AH550" s="32">
        <f t="shared" si="503"/>
        <v>21781.8176850835</v>
      </c>
      <c r="AI550" s="32">
        <f t="shared" si="504"/>
        <v>1.57075041694408</v>
      </c>
      <c r="AJ550" s="32" t="str">
        <f t="shared" si="485"/>
        <v>1+205,838176907116i</v>
      </c>
      <c r="AK550" s="32">
        <f t="shared" si="505"/>
        <v>205.840605985421</v>
      </c>
      <c r="AL550" s="32">
        <f t="shared" si="506"/>
        <v>1.56593817974066</v>
      </c>
      <c r="AM550" s="32" t="str">
        <f t="shared" si="486"/>
        <v>1-60,7682147580183i</v>
      </c>
      <c r="AN550" s="32">
        <f t="shared" si="507"/>
        <v>60.7764421867275</v>
      </c>
      <c r="AO550" s="32">
        <f t="shared" si="508"/>
        <v>-1.554341840641</v>
      </c>
      <c r="AP550" s="30" t="str">
        <f t="shared" si="509"/>
        <v>2,88883891665085-248,122884859233i</v>
      </c>
      <c r="AQ550" s="32">
        <f t="shared" si="510"/>
        <v>47.8939251035438</v>
      </c>
      <c r="AR550" s="31">
        <f t="shared" si="511"/>
        <v>-89.3329482710972</v>
      </c>
      <c r="AS550" t="str">
        <f t="shared" si="487"/>
        <v>-0,000201496259351621</v>
      </c>
      <c r="AT550" t="str">
        <f t="shared" si="488"/>
        <v>2,94973458871357i</v>
      </c>
      <c r="AU550">
        <f t="shared" si="512"/>
        <v>2.94973458871357</v>
      </c>
      <c r="AV550">
        <f t="shared" si="513"/>
        <v>1.5707963267949</v>
      </c>
      <c r="AW550" t="str">
        <f t="shared" si="489"/>
        <v>1+151,021000592881i</v>
      </c>
      <c r="AX550">
        <f t="shared" si="514"/>
        <v>151.024311354414</v>
      </c>
      <c r="AY550">
        <f t="shared" si="515"/>
        <v>1.56417482792201</v>
      </c>
      <c r="AZ550" t="str">
        <f t="shared" si="490"/>
        <v>1+7220,08911345111i</v>
      </c>
      <c r="BA550">
        <f t="shared" si="516"/>
        <v>7220.08918270233</v>
      </c>
      <c r="BB550">
        <f t="shared" si="517"/>
        <v>1.57065782435014</v>
      </c>
      <c r="BC550" s="30" t="str">
        <f t="shared" si="518"/>
        <v>-0,0000211715417577724+0,0032656573829245i</v>
      </c>
      <c r="BD550" s="32">
        <f t="shared" si="519"/>
        <v>-49.7204050940164</v>
      </c>
      <c r="BE550" s="31">
        <f t="shared" si="520"/>
        <v>90.3714483339301</v>
      </c>
      <c r="BF550" s="30" t="str">
        <f t="shared" si="521"/>
        <v>-0,00976224865043743-0,0115756098715686i</v>
      </c>
      <c r="BG550" s="68">
        <f t="shared" si="522"/>
        <v>-36.3960306182638</v>
      </c>
      <c r="BH550" s="31">
        <f t="shared" si="523"/>
        <v>-130.142488153943</v>
      </c>
      <c r="BI550" s="30" t="str">
        <f t="shared" si="476"/>
        <v>0,810223169639325+0,0146871021540967i</v>
      </c>
      <c r="BJ550" s="68">
        <f t="shared" si="524"/>
        <v>-1.82647999047264</v>
      </c>
      <c r="BK550" s="31">
        <f t="shared" si="477"/>
        <v>1.03850006283289</v>
      </c>
      <c r="BL550" s="32">
        <f t="shared" si="525"/>
        <v>-36.3960306182638</v>
      </c>
      <c r="BM550" s="31">
        <f t="shared" si="526"/>
        <v>-130.142488153943</v>
      </c>
      <c r="BO550">
        <f t="shared" si="527"/>
        <v>0</v>
      </c>
      <c r="BP550">
        <f t="shared" si="528"/>
        <v>0</v>
      </c>
    </row>
    <row r="551" spans="14:68">
      <c r="N551" s="7">
        <v>33</v>
      </c>
      <c r="O551" s="18">
        <f t="shared" si="478"/>
        <v>2137962.08950224</v>
      </c>
      <c r="P551" s="86" t="str">
        <f t="shared" si="479"/>
        <v>54,5454545454545</v>
      </c>
      <c r="Q551" s="4" t="str">
        <f t="shared" si="480"/>
        <v>1+27354,9044120645i</v>
      </c>
      <c r="R551" s="4">
        <f t="shared" si="491"/>
        <v>27354.9044303428</v>
      </c>
      <c r="S551" s="4">
        <f t="shared" si="492"/>
        <v>1.57075977027894</v>
      </c>
      <c r="T551" s="4" t="str">
        <f t="shared" si="481"/>
        <v>1+210,632763972897i</v>
      </c>
      <c r="U551" s="4">
        <f t="shared" si="493"/>
        <v>210.635137759259</v>
      </c>
      <c r="V551" s="4">
        <f t="shared" si="494"/>
        <v>1.5660487629876</v>
      </c>
      <c r="W551" t="str">
        <f t="shared" si="482"/>
        <v>1-604,494539463034i</v>
      </c>
      <c r="X551" s="4">
        <f t="shared" si="495"/>
        <v>604.495366599799</v>
      </c>
      <c r="Y551" s="4">
        <f t="shared" si="496"/>
        <v>-1.56914205364186</v>
      </c>
      <c r="Z551" t="str">
        <f t="shared" si="483"/>
        <v>-36,3133216012146+41,7389086772094i</v>
      </c>
      <c r="AA551" s="4">
        <f t="shared" si="497"/>
        <v>55.324441463766</v>
      </c>
      <c r="AB551" s="4">
        <f t="shared" si="498"/>
        <v>2.28679386480886</v>
      </c>
      <c r="AC551" s="67" t="str">
        <f t="shared" si="499"/>
        <v>-3,45299256650376+3,02273608418208i</v>
      </c>
      <c r="AD551" s="68">
        <f t="shared" si="500"/>
        <v>13.2346024546695</v>
      </c>
      <c r="AE551" s="31">
        <f t="shared" si="501"/>
        <v>138.801224964824</v>
      </c>
      <c r="AF551" s="32" t="str">
        <f t="shared" si="502"/>
        <v>432,040091031901</v>
      </c>
      <c r="AG551" s="32" t="str">
        <f t="shared" si="484"/>
        <v>1+22289,1813727933i</v>
      </c>
      <c r="AH551" s="32">
        <f t="shared" si="503"/>
        <v>22289.1813952257</v>
      </c>
      <c r="AI551" s="32">
        <f t="shared" si="504"/>
        <v>1.57075146197987</v>
      </c>
      <c r="AJ551" s="32" t="str">
        <f t="shared" si="485"/>
        <v>1+210,632763972897i</v>
      </c>
      <c r="AK551" s="32">
        <f t="shared" si="505"/>
        <v>210.635137759259</v>
      </c>
      <c r="AL551" s="32">
        <f t="shared" si="506"/>
        <v>1.5660487629876</v>
      </c>
      <c r="AM551" s="32" t="str">
        <f t="shared" si="486"/>
        <v>1-62,1836883152919i</v>
      </c>
      <c r="AN551" s="32">
        <f t="shared" si="507"/>
        <v>62.1917284893527</v>
      </c>
      <c r="AO551" s="32">
        <f t="shared" si="508"/>
        <v>-1.55471632516124</v>
      </c>
      <c r="AP551" s="30" t="str">
        <f t="shared" si="509"/>
        <v>2,88883887594036-253,901501897698i</v>
      </c>
      <c r="AQ551" s="32">
        <f t="shared" si="510"/>
        <v>48.0938675730706</v>
      </c>
      <c r="AR551" s="31">
        <f t="shared" si="511"/>
        <v>-89.3481285764054</v>
      </c>
      <c r="AS551" t="str">
        <f t="shared" si="487"/>
        <v>-0,000201496259351621</v>
      </c>
      <c r="AT551" t="str">
        <f t="shared" si="488"/>
        <v>3,01844273371875i</v>
      </c>
      <c r="AU551">
        <f t="shared" si="512"/>
        <v>3.01844273371875</v>
      </c>
      <c r="AV551">
        <f t="shared" si="513"/>
        <v>1.5707963267949</v>
      </c>
      <c r="AW551" t="str">
        <f t="shared" si="489"/>
        <v>1+154,538731593922i</v>
      </c>
      <c r="AX551">
        <f t="shared" si="514"/>
        <v>154.541966994918</v>
      </c>
      <c r="AY551">
        <f t="shared" si="515"/>
        <v>1.56432554738153</v>
      </c>
      <c r="AZ551" t="str">
        <f t="shared" si="490"/>
        <v>1+7388,26659343706i</v>
      </c>
      <c r="BA551">
        <f t="shared" si="516"/>
        <v>7388.26666111193</v>
      </c>
      <c r="BB551">
        <f t="shared" si="517"/>
        <v>1.57066097705064</v>
      </c>
      <c r="BC551" s="30" t="str">
        <f t="shared" si="518"/>
        <v>-0,0000202187053106315+0,00319132811116349i</v>
      </c>
      <c r="BD551" s="32">
        <f t="shared" si="519"/>
        <v>-49.9203965278795</v>
      </c>
      <c r="BE551" s="31">
        <f t="shared" si="520"/>
        <v>90.3629933814422</v>
      </c>
      <c r="BF551" s="30" t="str">
        <f t="shared" si="521"/>
        <v>-0,00957672759893658-0,0110807480552399i</v>
      </c>
      <c r="BG551" s="68">
        <f t="shared" si="522"/>
        <v>-36.68579407321</v>
      </c>
      <c r="BH551" s="31">
        <f t="shared" si="523"/>
        <v>-130.835781653734</v>
      </c>
      <c r="BI551" s="30" t="str">
        <f t="shared" si="476"/>
        <v>0,810224591890831+0,0143527923582067i</v>
      </c>
      <c r="BJ551" s="68">
        <f t="shared" si="524"/>
        <v>-1.82652895480894</v>
      </c>
      <c r="BK551" s="31">
        <f t="shared" si="477"/>
        <v>1.01486480503671</v>
      </c>
      <c r="BL551" s="32">
        <f t="shared" si="525"/>
        <v>-36.68579407321</v>
      </c>
      <c r="BM551" s="31">
        <f t="shared" si="526"/>
        <v>-130.835781653734</v>
      </c>
      <c r="BO551">
        <f t="shared" si="527"/>
        <v>0</v>
      </c>
      <c r="BP551">
        <f t="shared" si="528"/>
        <v>0</v>
      </c>
    </row>
    <row r="552" spans="14:68">
      <c r="N552" s="7">
        <v>34</v>
      </c>
      <c r="O552" s="18">
        <f t="shared" si="478"/>
        <v>2187761.62394956</v>
      </c>
      <c r="P552" s="86" t="str">
        <f t="shared" si="479"/>
        <v>54,5454545454545</v>
      </c>
      <c r="Q552" s="4" t="str">
        <f t="shared" si="480"/>
        <v>1+27992,0819893755i</v>
      </c>
      <c r="R552" s="4">
        <f t="shared" si="491"/>
        <v>27992.0820072377</v>
      </c>
      <c r="S552" s="4">
        <f t="shared" si="492"/>
        <v>1.57076060240684</v>
      </c>
      <c r="T552" s="4" t="str">
        <f t="shared" si="481"/>
        <v>1+215,539031318192i</v>
      </c>
      <c r="U552" s="4">
        <f t="shared" si="493"/>
        <v>215.541351071168</v>
      </c>
      <c r="V552" s="4">
        <f t="shared" si="494"/>
        <v>1.56615682916472</v>
      </c>
      <c r="W552" t="str">
        <f t="shared" si="482"/>
        <v>1-618,575026104505i</v>
      </c>
      <c r="X552" s="4">
        <f t="shared" si="495"/>
        <v>618.575834413364</v>
      </c>
      <c r="Y552" s="4">
        <f t="shared" si="496"/>
        <v>-1.56917970942975</v>
      </c>
      <c r="Z552" t="str">
        <f t="shared" si="483"/>
        <v>-38,0718442712361+42,7111327548348i</v>
      </c>
      <c r="AA552" s="4">
        <f t="shared" si="497"/>
        <v>57.2163105015902</v>
      </c>
      <c r="AB552" s="4">
        <f t="shared" si="498"/>
        <v>2.29882846515705</v>
      </c>
      <c r="AC552" s="67" t="str">
        <f t="shared" si="499"/>
        <v>-3,38055829218404+3,03153197587492i</v>
      </c>
      <c r="AD552" s="68">
        <f t="shared" si="500"/>
        <v>13.142541284793</v>
      </c>
      <c r="AE552" s="31">
        <f t="shared" si="501"/>
        <v>138.115679697467</v>
      </c>
      <c r="AF552" s="32" t="str">
        <f t="shared" si="502"/>
        <v>432,040091031901</v>
      </c>
      <c r="AG552" s="32" t="str">
        <f t="shared" si="484"/>
        <v>1+22808,3631024541i</v>
      </c>
      <c r="AH552" s="32">
        <f t="shared" si="503"/>
        <v>22808.3631243759</v>
      </c>
      <c r="AI552" s="32">
        <f t="shared" si="504"/>
        <v>1.57075248322774</v>
      </c>
      <c r="AJ552" s="32" t="str">
        <f t="shared" si="485"/>
        <v>1+215,539031318192i</v>
      </c>
      <c r="AK552" s="32">
        <f t="shared" si="505"/>
        <v>215.541351071168</v>
      </c>
      <c r="AL552" s="32">
        <f t="shared" si="506"/>
        <v>1.56615682916472</v>
      </c>
      <c r="AM552" s="32" t="str">
        <f t="shared" si="486"/>
        <v>1-63,6321324872088i</v>
      </c>
      <c r="AN552" s="32">
        <f t="shared" si="507"/>
        <v>63.6399896674229</v>
      </c>
      <c r="AO552" s="32">
        <f t="shared" si="508"/>
        <v>-1.55508228973154</v>
      </c>
      <c r="AP552" s="30" t="str">
        <f t="shared" si="509"/>
        <v>2,88883883706216-259,814740873255i</v>
      </c>
      <c r="AQ552" s="32">
        <f t="shared" si="510"/>
        <v>48.2938126312887</v>
      </c>
      <c r="AR552" s="31">
        <f t="shared" si="511"/>
        <v>-89.3629635790703</v>
      </c>
      <c r="AS552" t="str">
        <f t="shared" si="487"/>
        <v>-0,000201496259351621</v>
      </c>
      <c r="AT552" t="str">
        <f t="shared" si="488"/>
        <v>3,08875129701516i</v>
      </c>
      <c r="AU552">
        <f t="shared" si="512"/>
        <v>3.08875129701516</v>
      </c>
      <c r="AV552">
        <f t="shared" si="513"/>
        <v>1.5707963267949</v>
      </c>
      <c r="AW552" t="str">
        <f t="shared" si="489"/>
        <v>1+158,138401076017i</v>
      </c>
      <c r="AX552">
        <f t="shared" si="514"/>
        <v>158.141562831784</v>
      </c>
      <c r="AY552">
        <f t="shared" si="515"/>
        <v>1.56447283633138</v>
      </c>
      <c r="AZ552" t="str">
        <f t="shared" si="490"/>
        <v>1+7560,36143016615i</v>
      </c>
      <c r="BA552">
        <f t="shared" si="516"/>
        <v>7560.36149630055</v>
      </c>
      <c r="BB552">
        <f t="shared" si="517"/>
        <v>1.57066405798693</v>
      </c>
      <c r="BC552" s="30" t="str">
        <f t="shared" si="518"/>
        <v>-0,0000193087500575298+0,00311869036868163i</v>
      </c>
      <c r="BD552" s="32">
        <f t="shared" si="519"/>
        <v>-50.1203883472664</v>
      </c>
      <c r="BE552" s="31">
        <f t="shared" si="520"/>
        <v>90.3547308708932</v>
      </c>
      <c r="BF552" s="30" t="str">
        <f t="shared" si="521"/>
        <v>-0,00938913522039281-0,0106014496798148i</v>
      </c>
      <c r="BG552" s="68">
        <f t="shared" si="522"/>
        <v>-36.9778470624734</v>
      </c>
      <c r="BH552" s="31">
        <f t="shared" si="523"/>
        <v>-131.52958943164</v>
      </c>
      <c r="BI552" s="30" t="str">
        <f t="shared" si="476"/>
        <v>0,810225950135873+0,0140260917506028i</v>
      </c>
      <c r="BJ552" s="68">
        <f t="shared" si="524"/>
        <v>-1.8265757159777</v>
      </c>
      <c r="BK552" s="31">
        <f t="shared" si="477"/>
        <v>0.991767291822889</v>
      </c>
      <c r="BL552" s="32">
        <f t="shared" si="525"/>
        <v>-36.9778470624734</v>
      </c>
      <c r="BM552" s="31">
        <f t="shared" si="526"/>
        <v>-131.52958943164</v>
      </c>
      <c r="BO552">
        <f t="shared" si="527"/>
        <v>0</v>
      </c>
      <c r="BP552">
        <f t="shared" si="528"/>
        <v>0</v>
      </c>
    </row>
    <row r="553" spans="14:68">
      <c r="N553" s="7">
        <v>35</v>
      </c>
      <c r="O553" s="18">
        <f t="shared" si="478"/>
        <v>2238721.13856834</v>
      </c>
      <c r="P553" s="86" t="str">
        <f t="shared" si="479"/>
        <v>54,5454545454545</v>
      </c>
      <c r="Q553" s="4" t="str">
        <f t="shared" si="480"/>
        <v>1+28644,1013390761i</v>
      </c>
      <c r="R553" s="4">
        <f t="shared" si="491"/>
        <v>28644.1013565317</v>
      </c>
      <c r="S553" s="4">
        <f t="shared" si="492"/>
        <v>1.57076141559319</v>
      </c>
      <c r="T553" s="4" t="str">
        <f t="shared" si="481"/>
        <v>1+220,559580310887i</v>
      </c>
      <c r="U553" s="4">
        <f t="shared" si="493"/>
        <v>220.561847260388</v>
      </c>
      <c r="V553" s="4">
        <f t="shared" si="494"/>
        <v>1.56626243556005</v>
      </c>
      <c r="W553" t="str">
        <f t="shared" si="482"/>
        <v>1-632,983489412621i</v>
      </c>
      <c r="X553" s="4">
        <f t="shared" si="495"/>
        <v>632.984279322147</v>
      </c>
      <c r="Y553" s="4">
        <f t="shared" si="496"/>
        <v>-1.56921650807169</v>
      </c>
      <c r="Z553" t="str">
        <f t="shared" si="483"/>
        <v>-39,91324356141+43,7060028403952i</v>
      </c>
      <c r="AA553" s="4">
        <f t="shared" si="497"/>
        <v>59.1885267250087</v>
      </c>
      <c r="AB553" s="4">
        <f t="shared" si="498"/>
        <v>2.31086806478859</v>
      </c>
      <c r="AC553" s="67" t="str">
        <f t="shared" si="499"/>
        <v>-3,30789372707194+3,03859504870048i</v>
      </c>
      <c r="AD553" s="68">
        <f t="shared" si="500"/>
        <v>13.0481829595086</v>
      </c>
      <c r="AE553" s="31">
        <f t="shared" si="501"/>
        <v>137.429757253272</v>
      </c>
      <c r="AF553" s="32" t="str">
        <f t="shared" si="502"/>
        <v>432,040091031901</v>
      </c>
      <c r="AG553" s="32" t="str">
        <f t="shared" si="484"/>
        <v>1+23339,6381281361i</v>
      </c>
      <c r="AH553" s="32">
        <f t="shared" si="503"/>
        <v>23339.6381495589</v>
      </c>
      <c r="AI553" s="32">
        <f t="shared" si="504"/>
        <v>1.57075348122917</v>
      </c>
      <c r="AJ553" s="32" t="str">
        <f t="shared" si="485"/>
        <v>1+220,559580310887i</v>
      </c>
      <c r="AK553" s="32">
        <f t="shared" si="505"/>
        <v>220.561847260388</v>
      </c>
      <c r="AL553" s="32">
        <f t="shared" si="506"/>
        <v>1.56626243556005</v>
      </c>
      <c r="AM553" s="32" t="str">
        <f t="shared" si="486"/>
        <v>1-65,114315258041i</v>
      </c>
      <c r="AN553" s="32">
        <f t="shared" si="507"/>
        <v>65.1219936083314</v>
      </c>
      <c r="AO553" s="32">
        <f t="shared" si="508"/>
        <v>-1.55543992799882</v>
      </c>
      <c r="AP553" s="30" t="str">
        <f t="shared" si="509"/>
        <v>2,88883879993377-265,865737063474i</v>
      </c>
      <c r="AQ553" s="32">
        <f t="shared" si="510"/>
        <v>48.4937601617412</v>
      </c>
      <c r="AR553" s="31">
        <f t="shared" si="511"/>
        <v>-89.3774611229063</v>
      </c>
      <c r="AS553" t="str">
        <f t="shared" si="487"/>
        <v>-0,000201496259351621</v>
      </c>
      <c r="AT553" t="str">
        <f t="shared" si="488"/>
        <v>3,1606975571337i</v>
      </c>
      <c r="AU553">
        <f t="shared" si="512"/>
        <v>3.1606975571337</v>
      </c>
      <c r="AV553">
        <f t="shared" si="513"/>
        <v>1.5707963267949</v>
      </c>
      <c r="AW553" t="str">
        <f t="shared" si="489"/>
        <v>1+161,82191763157i</v>
      </c>
      <c r="AX553">
        <f t="shared" si="514"/>
        <v>161.82500741838</v>
      </c>
      <c r="AY553">
        <f t="shared" si="515"/>
        <v>1.56461677284052</v>
      </c>
      <c r="AZ553" t="str">
        <f t="shared" si="490"/>
        <v>1+7736,46487059869i</v>
      </c>
      <c r="BA553">
        <f t="shared" si="516"/>
        <v>7736.46493522769</v>
      </c>
      <c r="BB553">
        <f t="shared" si="517"/>
        <v>1.57066706879255</v>
      </c>
      <c r="BC553" s="30" t="str">
        <f t="shared" si="518"/>
        <v>-0,000018439746335674+0,00304770567903586i</v>
      </c>
      <c r="BD553" s="32">
        <f t="shared" si="519"/>
        <v>-50.3203805348271</v>
      </c>
      <c r="BE553" s="31">
        <f t="shared" si="520"/>
        <v>90.3466564228563</v>
      </c>
      <c r="BF553" s="30" t="str">
        <f t="shared" si="521"/>
        <v>-0,00919974666498212-0,0101375174195591i</v>
      </c>
      <c r="BG553" s="68">
        <f t="shared" si="522"/>
        <v>-37.2721975753185</v>
      </c>
      <c r="BH553" s="31">
        <f t="shared" si="523"/>
        <v>-132.223586323871</v>
      </c>
      <c r="BI553" s="30" t="str">
        <f t="shared" si="476"/>
        <v>0,810227247254729+0,0137068271671748i</v>
      </c>
      <c r="BJ553" s="68">
        <f t="shared" si="524"/>
        <v>-1.82662037308597</v>
      </c>
      <c r="BK553" s="31">
        <f t="shared" si="477"/>
        <v>0.969195299949933</v>
      </c>
      <c r="BL553" s="32">
        <f t="shared" si="525"/>
        <v>-37.2721975753185</v>
      </c>
      <c r="BM553" s="31">
        <f t="shared" si="526"/>
        <v>-132.223586323871</v>
      </c>
      <c r="BO553">
        <f t="shared" si="527"/>
        <v>0</v>
      </c>
      <c r="BP553">
        <f t="shared" si="528"/>
        <v>0</v>
      </c>
    </row>
    <row r="554" spans="14:68">
      <c r="N554" s="7">
        <v>36</v>
      </c>
      <c r="O554" s="18">
        <f t="shared" si="478"/>
        <v>2290867.65276778</v>
      </c>
      <c r="P554" s="86" t="str">
        <f t="shared" si="479"/>
        <v>54,5454545454545</v>
      </c>
      <c r="Q554" s="4" t="str">
        <f t="shared" si="480"/>
        <v>1+29311,3081704566i</v>
      </c>
      <c r="R554" s="4">
        <f t="shared" si="491"/>
        <v>29311.3081875149</v>
      </c>
      <c r="S554" s="4">
        <f t="shared" si="492"/>
        <v>1.57076221026916</v>
      </c>
      <c r="T554" s="4" t="str">
        <f t="shared" si="481"/>
        <v>1+225,697072912516i</v>
      </c>
      <c r="U554" s="4">
        <f t="shared" si="493"/>
        <v>225.699288260459</v>
      </c>
      <c r="V554" s="4">
        <f t="shared" si="494"/>
        <v>1.56636563815804</v>
      </c>
      <c r="W554" t="str">
        <f t="shared" si="482"/>
        <v>1-647,727568945358i</v>
      </c>
      <c r="X554" s="4">
        <f t="shared" si="495"/>
        <v>647.72834087437</v>
      </c>
      <c r="Y554" s="4">
        <f t="shared" si="496"/>
        <v>-1.5692524690784</v>
      </c>
      <c r="Z554" t="str">
        <f t="shared" si="483"/>
        <v>-41,8414253265126+44,7240464271795i</v>
      </c>
      <c r="AA554" s="4">
        <f t="shared" si="497"/>
        <v>61.2449606267702</v>
      </c>
      <c r="AB554" s="4">
        <f t="shared" si="498"/>
        <v>2.3229068957955</v>
      </c>
      <c r="AC554" s="67" t="str">
        <f t="shared" si="499"/>
        <v>-3,23507562545151+3,04391623548814i</v>
      </c>
      <c r="AD554" s="68">
        <f t="shared" si="500"/>
        <v>12.9515218580266</v>
      </c>
      <c r="AE554" s="31">
        <f t="shared" si="501"/>
        <v>136.743790174115</v>
      </c>
      <c r="AF554" s="32" t="str">
        <f t="shared" si="502"/>
        <v>432,040091031901</v>
      </c>
      <c r="AG554" s="32" t="str">
        <f t="shared" si="484"/>
        <v>1+23883,2881388905i</v>
      </c>
      <c r="AH554" s="32">
        <f t="shared" si="503"/>
        <v>23883.2881598256</v>
      </c>
      <c r="AI554" s="32">
        <f t="shared" si="504"/>
        <v>1.57075445651332</v>
      </c>
      <c r="AJ554" s="32" t="str">
        <f t="shared" si="485"/>
        <v>1+225,697072912516i</v>
      </c>
      <c r="AK554" s="32">
        <f t="shared" si="505"/>
        <v>225.699288260459</v>
      </c>
      <c r="AL554" s="32">
        <f t="shared" si="506"/>
        <v>1.56636563815804</v>
      </c>
      <c r="AM554" s="32" t="str">
        <f t="shared" si="486"/>
        <v>1-66,6310225007136i</v>
      </c>
      <c r="AN554" s="32">
        <f t="shared" si="507"/>
        <v>66.6385260903226</v>
      </c>
      <c r="AO554" s="32">
        <f t="shared" si="508"/>
        <v>-1.55578942922146</v>
      </c>
      <c r="AP554" s="30" t="str">
        <f t="shared" si="509"/>
        <v>2,88883876447642-272,057698786637i</v>
      </c>
      <c r="AQ554" s="32">
        <f t="shared" si="510"/>
        <v>48.6937100532079</v>
      </c>
      <c r="AR554" s="31">
        <f t="shared" si="511"/>
        <v>-89.3916288742638</v>
      </c>
      <c r="AS554" t="str">
        <f t="shared" si="487"/>
        <v>-0,000201496259351621</v>
      </c>
      <c r="AT554" t="str">
        <f t="shared" si="488"/>
        <v>3,23431966093382i</v>
      </c>
      <c r="AU554">
        <f t="shared" si="512"/>
        <v>3.23431966093382</v>
      </c>
      <c r="AV554">
        <f t="shared" si="513"/>
        <v>1.5707963267949</v>
      </c>
      <c r="AW554" t="str">
        <f t="shared" si="489"/>
        <v>1+165,59123430982i</v>
      </c>
      <c r="AX554">
        <f t="shared" si="514"/>
        <v>165.594253765793</v>
      </c>
      <c r="AY554">
        <f t="shared" si="515"/>
        <v>1.56475743320213</v>
      </c>
      <c r="AZ554" t="str">
        <f t="shared" si="490"/>
        <v>1+7916,67028710992i</v>
      </c>
      <c r="BA554">
        <f t="shared" si="516"/>
        <v>7916.67035026778</v>
      </c>
      <c r="BB554">
        <f t="shared" si="517"/>
        <v>1.57067001106386</v>
      </c>
      <c r="BC554" s="30" t="str">
        <f t="shared" si="518"/>
        <v>-0,000017609851304228+0,00297833643978094i</v>
      </c>
      <c r="BD554" s="32">
        <f t="shared" si="519"/>
        <v>-50.5203730739925</v>
      </c>
      <c r="BE554" s="31">
        <f t="shared" si="520"/>
        <v>90.3387657575197</v>
      </c>
      <c r="BF554" s="30" t="str">
        <f t="shared" si="521"/>
        <v>-0,00900883744307301-0,00968874653301882i</v>
      </c>
      <c r="BG554" s="68">
        <f t="shared" si="522"/>
        <v>-37.5688512159659</v>
      </c>
      <c r="BH554" s="31">
        <f t="shared" si="523"/>
        <v>-132.917444068366</v>
      </c>
      <c r="BI554" s="30" t="str">
        <f t="shared" si="476"/>
        <v>0,810228485998103+0,013394829382695i</v>
      </c>
      <c r="BJ554" s="68">
        <f t="shared" si="524"/>
        <v>-1.82666302078463</v>
      </c>
      <c r="BK554" s="31">
        <f t="shared" si="477"/>
        <v>0.947136883255844</v>
      </c>
      <c r="BL554" s="32">
        <f t="shared" si="525"/>
        <v>-37.5688512159659</v>
      </c>
      <c r="BM554" s="31">
        <f t="shared" si="526"/>
        <v>-132.917444068366</v>
      </c>
      <c r="BO554">
        <f t="shared" si="527"/>
        <v>0</v>
      </c>
      <c r="BP554">
        <f t="shared" si="528"/>
        <v>0</v>
      </c>
    </row>
    <row r="555" spans="14:68">
      <c r="N555" s="7">
        <v>37</v>
      </c>
      <c r="O555" s="18">
        <f t="shared" si="478"/>
        <v>2344228.81531993</v>
      </c>
      <c r="P555" s="86" t="str">
        <f t="shared" si="479"/>
        <v>54,5454545454545</v>
      </c>
      <c r="Q555" s="4" t="str">
        <f t="shared" si="480"/>
        <v>1+29994,0562454098i</v>
      </c>
      <c r="R555" s="4">
        <f t="shared" si="491"/>
        <v>29994.0562620798</v>
      </c>
      <c r="S555" s="4">
        <f t="shared" si="492"/>
        <v>1.5707629868561</v>
      </c>
      <c r="T555" s="4" t="str">
        <f t="shared" si="481"/>
        <v>1+230,954233089656i</v>
      </c>
      <c r="U555" s="4">
        <f t="shared" si="493"/>
        <v>230.956398010601</v>
      </c>
      <c r="V555" s="4">
        <f t="shared" si="494"/>
        <v>1.56646649166931</v>
      </c>
      <c r="W555" t="str">
        <f t="shared" si="482"/>
        <v>1-662,815082208835i</v>
      </c>
      <c r="X555" s="4">
        <f t="shared" si="495"/>
        <v>662.815836566617</v>
      </c>
      <c r="Y555" s="4">
        <f t="shared" si="496"/>
        <v>-1.56928761151653</v>
      </c>
      <c r="Z555" t="str">
        <f t="shared" si="483"/>
        <v>-43,8604794985822+45,7658032953719i</v>
      </c>
      <c r="AA555" s="4">
        <f t="shared" si="497"/>
        <v>63.3896711863709</v>
      </c>
      <c r="AB555" s="4">
        <f t="shared" si="498"/>
        <v>2.33493915309972</v>
      </c>
      <c r="AC555" s="67" t="str">
        <f t="shared" si="499"/>
        <v>-3,16218135000616+3,04749083511034i</v>
      </c>
      <c r="AD555" s="68">
        <f t="shared" si="500"/>
        <v>12.8525547705169</v>
      </c>
      <c r="AE555" s="31">
        <f t="shared" si="501"/>
        <v>136.058113084571</v>
      </c>
      <c r="AF555" s="32" t="str">
        <f t="shared" si="502"/>
        <v>432,040091031901</v>
      </c>
      <c r="AG555" s="32" t="str">
        <f t="shared" si="484"/>
        <v>1+24439,6013851488i</v>
      </c>
      <c r="AH555" s="32">
        <f t="shared" si="503"/>
        <v>24439.6014056074</v>
      </c>
      <c r="AI555" s="32">
        <f t="shared" si="504"/>
        <v>1.57075540959728</v>
      </c>
      <c r="AJ555" s="32" t="str">
        <f t="shared" si="485"/>
        <v>1+230,954233089656i</v>
      </c>
      <c r="AK555" s="32">
        <f t="shared" si="505"/>
        <v>230.956398010601</v>
      </c>
      <c r="AL555" s="32">
        <f t="shared" si="506"/>
        <v>1.56646649166931</v>
      </c>
      <c r="AM555" s="32" t="str">
        <f t="shared" si="486"/>
        <v>1-68,1830583934815i</v>
      </c>
      <c r="AN555" s="32">
        <f t="shared" si="507"/>
        <v>68.1903911991192</v>
      </c>
      <c r="AO555" s="32">
        <f t="shared" si="508"/>
        <v>-1.55613097836792</v>
      </c>
      <c r="AP555" s="30" t="str">
        <f t="shared" si="509"/>
        <v>2,8888387306149-278,393909102803i</v>
      </c>
      <c r="AQ555" s="32">
        <f t="shared" si="510"/>
        <v>48.8936621994699</v>
      </c>
      <c r="AR555" s="31">
        <f t="shared" si="511"/>
        <v>-89.4054743259965</v>
      </c>
      <c r="AS555" t="str">
        <f t="shared" si="487"/>
        <v>-0,000201496259351621</v>
      </c>
      <c r="AT555" t="str">
        <f t="shared" si="488"/>
        <v>3,30965664382944i</v>
      </c>
      <c r="AU555">
        <f t="shared" si="512"/>
        <v>3.30965664382944</v>
      </c>
      <c r="AV555">
        <f t="shared" si="513"/>
        <v>1.5707963267949</v>
      </c>
      <c r="AW555" t="str">
        <f t="shared" si="489"/>
        <v>1+169,44834965236i</v>
      </c>
      <c r="AX555">
        <f t="shared" si="514"/>
        <v>169.451300378334</v>
      </c>
      <c r="AY555">
        <f t="shared" si="515"/>
        <v>1.56489489197392</v>
      </c>
      <c r="AZ555" t="str">
        <f t="shared" si="490"/>
        <v>1+8101,07322699685i</v>
      </c>
      <c r="BA555">
        <f t="shared" si="516"/>
        <v>8101.07328871707</v>
      </c>
      <c r="BB555">
        <f t="shared" si="517"/>
        <v>1.57067288636091</v>
      </c>
      <c r="BC555" s="30" t="str">
        <f t="shared" si="518"/>
        <v>-0,000016817305039074+0,00291054590269737i</v>
      </c>
      <c r="BD555" s="32">
        <f t="shared" si="519"/>
        <v>-50.7203659489387</v>
      </c>
      <c r="BE555" s="31">
        <f t="shared" si="520"/>
        <v>90.3310546924246</v>
      </c>
      <c r="BF555" s="30" t="str">
        <f t="shared" si="521"/>
        <v>-0,00881668259528626-0,0092549245548243i</v>
      </c>
      <c r="BG555" s="68">
        <f t="shared" si="522"/>
        <v>-37.8678111784219</v>
      </c>
      <c r="BH555" s="31">
        <f t="shared" si="523"/>
        <v>-133.610832223004</v>
      </c>
      <c r="BI555" s="30" t="str">
        <f t="shared" si="476"/>
        <v>0,810229668992926+0,0130899330213467i</v>
      </c>
      <c r="BJ555" s="68">
        <f t="shared" si="524"/>
        <v>-1.82670374946883</v>
      </c>
      <c r="BK555" s="31">
        <f t="shared" si="477"/>
        <v>0.925580366428156</v>
      </c>
      <c r="BL555" s="32">
        <f t="shared" si="525"/>
        <v>-37.8678111784219</v>
      </c>
      <c r="BM555" s="31">
        <f t="shared" si="526"/>
        <v>-133.610832223004</v>
      </c>
      <c r="BO555">
        <f t="shared" si="527"/>
        <v>0</v>
      </c>
      <c r="BP555">
        <f t="shared" si="528"/>
        <v>0</v>
      </c>
    </row>
    <row r="556" spans="14:68">
      <c r="N556" s="7">
        <v>38</v>
      </c>
      <c r="O556" s="18">
        <f t="shared" si="478"/>
        <v>2398832.91901949</v>
      </c>
      <c r="P556" s="86" t="str">
        <f t="shared" si="479"/>
        <v>54,5454545454545</v>
      </c>
      <c r="Q556" s="4" t="str">
        <f t="shared" si="480"/>
        <v>1+30692,7075660026i</v>
      </c>
      <c r="R556" s="4">
        <f t="shared" si="491"/>
        <v>30692.7075822931</v>
      </c>
      <c r="S556" s="4">
        <f t="shared" si="492"/>
        <v>1.57076374576575</v>
      </c>
      <c r="T556" s="4" t="str">
        <f t="shared" si="481"/>
        <v>1+236,33384825822i</v>
      </c>
      <c r="U556" s="4">
        <f t="shared" si="493"/>
        <v>236.335963899994</v>
      </c>
      <c r="V556" s="4">
        <f t="shared" si="494"/>
        <v>1.56656504955949</v>
      </c>
      <c r="W556" t="str">
        <f t="shared" si="482"/>
        <v>1-678,254028802291i</v>
      </c>
      <c r="X556" s="4">
        <f t="shared" si="495"/>
        <v>678.254765988813</v>
      </c>
      <c r="Y556" s="4">
        <f t="shared" si="496"/>
        <v>-1.56932195401871</v>
      </c>
      <c r="Z556" t="str">
        <f t="shared" si="483"/>
        <v>-45,9746887622172+46,8318257982534i</v>
      </c>
      <c r="AA556" s="4">
        <f t="shared" si="497"/>
        <v>65.6269145578298</v>
      </c>
      <c r="AB556" s="4">
        <f t="shared" si="498"/>
        <v>2.34695901065317</v>
      </c>
      <c r="AC556" s="67" t="str">
        <f t="shared" si="499"/>
        <v>-3,08928854746814+3,04931855349504i</v>
      </c>
      <c r="AD556" s="68">
        <f t="shared" si="500"/>
        <v>12.7512809130577</v>
      </c>
      <c r="AE556" s="31">
        <f t="shared" si="501"/>
        <v>135.373061764802</v>
      </c>
      <c r="AF556" s="32" t="str">
        <f t="shared" si="502"/>
        <v>432,040091031901</v>
      </c>
      <c r="AG556" s="32" t="str">
        <f t="shared" si="484"/>
        <v>1+25008,8728315577i</v>
      </c>
      <c r="AH556" s="32">
        <f t="shared" si="503"/>
        <v>25008.8728515506</v>
      </c>
      <c r="AI556" s="32">
        <f t="shared" si="504"/>
        <v>1.57075634098641</v>
      </c>
      <c r="AJ556" s="32" t="str">
        <f t="shared" si="485"/>
        <v>1+236,33384825822i</v>
      </c>
      <c r="AK556" s="32">
        <f t="shared" si="505"/>
        <v>236.335963899994</v>
      </c>
      <c r="AL556" s="32">
        <f t="shared" si="506"/>
        <v>1.56656504955949</v>
      </c>
      <c r="AM556" s="32" t="str">
        <f t="shared" si="486"/>
        <v>1-69,7712458463189i</v>
      </c>
      <c r="AN556" s="32">
        <f t="shared" si="507"/>
        <v>69.778411754263</v>
      </c>
      <c r="AO556" s="32">
        <f t="shared" si="508"/>
        <v>-1.55646475621313</v>
      </c>
      <c r="AP556" s="30" t="str">
        <f t="shared" si="509"/>
        <v>2,88883869827742-284,877727554554i</v>
      </c>
      <c r="AQ556" s="32">
        <f t="shared" si="510"/>
        <v>49.0936164990853</v>
      </c>
      <c r="AR556" s="31">
        <f t="shared" si="511"/>
        <v>-89.419004801343</v>
      </c>
      <c r="AS556" t="str">
        <f t="shared" si="487"/>
        <v>-0,000201496259351621</v>
      </c>
      <c r="AT556" t="str">
        <f t="shared" si="488"/>
        <v>3,3867484504861i</v>
      </c>
      <c r="AU556">
        <f t="shared" si="512"/>
        <v>3.3867484504861</v>
      </c>
      <c r="AV556">
        <f t="shared" si="513"/>
        <v>1.5707963267949</v>
      </c>
      <c r="AW556" t="str">
        <f t="shared" si="489"/>
        <v>1+173,395308752798i</v>
      </c>
      <c r="AX556">
        <f t="shared" si="514"/>
        <v>173.398192313179</v>
      </c>
      <c r="AY556">
        <f t="shared" si="515"/>
        <v>1.56502922201756</v>
      </c>
      <c r="AZ556" t="str">
        <f t="shared" si="490"/>
        <v>1+8289,77146313909i</v>
      </c>
      <c r="BA556">
        <f t="shared" si="516"/>
        <v>8289.77152345438</v>
      </c>
      <c r="BB556">
        <f t="shared" si="517"/>
        <v>1.5706756962082</v>
      </c>
      <c r="BC556" s="30" t="str">
        <f t="shared" si="518"/>
        <v>-0,0000160604268031248+0,00284429815446078i</v>
      </c>
      <c r="BD556" s="32">
        <f t="shared" si="519"/>
        <v>-50.9203591445543</v>
      </c>
      <c r="BE556" s="31">
        <f t="shared" si="520"/>
        <v>90.3235191402535</v>
      </c>
      <c r="BF556" s="30" t="str">
        <f t="shared" si="521"/>
        <v>-0,00862355584147861-0,00883583107158827i</v>
      </c>
      <c r="BG556" s="68">
        <f t="shared" si="522"/>
        <v>-38.1690782314966</v>
      </c>
      <c r="BH556" s="31">
        <f t="shared" si="523"/>
        <v>-134.303419094944</v>
      </c>
      <c r="BI556" s="30" t="str">
        <f t="shared" si="476"/>
        <v>0,810230798747939+0,0127919764692758i</v>
      </c>
      <c r="BJ556" s="68">
        <f t="shared" si="524"/>
        <v>-1.826742645469</v>
      </c>
      <c r="BK556" s="31">
        <f t="shared" si="477"/>
        <v>0.904514338910521</v>
      </c>
      <c r="BL556" s="32">
        <f t="shared" si="525"/>
        <v>-38.1690782314966</v>
      </c>
      <c r="BM556" s="31">
        <f t="shared" si="526"/>
        <v>-134.303419094944</v>
      </c>
      <c r="BO556">
        <f t="shared" si="527"/>
        <v>0</v>
      </c>
      <c r="BP556">
        <f t="shared" si="528"/>
        <v>0</v>
      </c>
    </row>
    <row r="557" spans="14:68">
      <c r="N557" s="7">
        <v>39</v>
      </c>
      <c r="O557" s="18">
        <f t="shared" si="478"/>
        <v>2454708.91568503</v>
      </c>
      <c r="P557" s="86" t="str">
        <f t="shared" si="479"/>
        <v>54,5454545454545</v>
      </c>
      <c r="Q557" s="4" t="str">
        <f t="shared" si="480"/>
        <v>1+31407,6325664129i</v>
      </c>
      <c r="R557" s="4">
        <f t="shared" si="491"/>
        <v>31407.6325823326</v>
      </c>
      <c r="S557" s="4">
        <f t="shared" si="492"/>
        <v>1.57076448740052</v>
      </c>
      <c r="T557" s="4" t="str">
        <f t="shared" si="481"/>
        <v>1+241,838770761379i</v>
      </c>
      <c r="U557" s="4">
        <f t="shared" si="493"/>
        <v>241.840838245683</v>
      </c>
      <c r="V557" s="4">
        <f t="shared" si="494"/>
        <v>1.56666136407763</v>
      </c>
      <c r="W557" t="str">
        <f t="shared" si="482"/>
        <v>1-694,052594659571i</v>
      </c>
      <c r="X557" s="4">
        <f t="shared" si="495"/>
        <v>694.053315065696</v>
      </c>
      <c r="Y557" s="4">
        <f t="shared" si="496"/>
        <v>-1.56935551479345</v>
      </c>
      <c r="Z557" t="str">
        <f t="shared" si="483"/>
        <v>-48,1885376387232+47,9226791550656i</v>
      </c>
      <c r="AA557" s="4">
        <f t="shared" si="497"/>
        <v>67.9611531476475</v>
      </c>
      <c r="AB557" s="4">
        <f t="shared" si="498"/>
        <v>2.358960637729</v>
      </c>
      <c r="AC557" s="67" t="str">
        <f t="shared" si="499"/>
        <v>-3,01647482157541+3,04940351601932i</v>
      </c>
      <c r="AD557" s="68">
        <f t="shared" si="500"/>
        <v>12.6477019322696</v>
      </c>
      <c r="AE557" s="31">
        <f t="shared" si="501"/>
        <v>134.688972218171</v>
      </c>
      <c r="AF557" s="32" t="str">
        <f t="shared" si="502"/>
        <v>432,040091031901</v>
      </c>
      <c r="AG557" s="32" t="str">
        <f t="shared" si="484"/>
        <v>1+25591,4043133734i</v>
      </c>
      <c r="AH557" s="32">
        <f t="shared" si="503"/>
        <v>25591.4043329112</v>
      </c>
      <c r="AI557" s="32">
        <f t="shared" si="504"/>
        <v>1.57075725117453</v>
      </c>
      <c r="AJ557" s="32" t="str">
        <f t="shared" si="485"/>
        <v>1+241,838770761379i</v>
      </c>
      <c r="AK557" s="32">
        <f t="shared" si="505"/>
        <v>241.840838245683</v>
      </c>
      <c r="AL557" s="32">
        <f t="shared" si="506"/>
        <v>1.56666136407763</v>
      </c>
      <c r="AM557" s="32" t="str">
        <f t="shared" si="486"/>
        <v>1-71,3964269372357i</v>
      </c>
      <c r="AN557" s="32">
        <f t="shared" si="507"/>
        <v>71.4034297453843</v>
      </c>
      <c r="AO557" s="32">
        <f t="shared" si="508"/>
        <v>-1.55679093943288</v>
      </c>
      <c r="AP557" s="30" t="str">
        <f t="shared" si="509"/>
        <v>2,88883866739537-291,512591948258i</v>
      </c>
      <c r="AQ557" s="32">
        <f t="shared" si="510"/>
        <v>49.2935728551742</v>
      </c>
      <c r="AR557" s="31">
        <f t="shared" si="511"/>
        <v>-89.4322274577253</v>
      </c>
      <c r="AS557" t="str">
        <f t="shared" si="487"/>
        <v>-0,000201496259351621</v>
      </c>
      <c r="AT557" t="str">
        <f t="shared" si="488"/>
        <v>3,46563595600013i</v>
      </c>
      <c r="AU557">
        <f t="shared" si="512"/>
        <v>3.46563595600013</v>
      </c>
      <c r="AV557">
        <f t="shared" si="513"/>
        <v>1.5707963267949</v>
      </c>
      <c r="AW557" t="str">
        <f t="shared" si="489"/>
        <v>1+177,434204341096i</v>
      </c>
      <c r="AX557">
        <f t="shared" si="514"/>
        <v>177.437022264684</v>
      </c>
      <c r="AY557">
        <f t="shared" si="515"/>
        <v>1.56516049453721</v>
      </c>
      <c r="AZ557" t="str">
        <f t="shared" si="490"/>
        <v>1+8482,86504583919i</v>
      </c>
      <c r="BA557">
        <f t="shared" si="516"/>
        <v>8482.86510478154</v>
      </c>
      <c r="BB557">
        <f t="shared" si="517"/>
        <v>1.57067844209557</v>
      </c>
      <c r="BC557" s="30" t="str">
        <f t="shared" si="518"/>
        <v>-0,0000153376114843078+0,00277955809774402i</v>
      </c>
      <c r="BD557" s="32">
        <f t="shared" si="519"/>
        <v>-51.1203526464077</v>
      </c>
      <c r="BE557" s="31">
        <f t="shared" si="520"/>
        <v>90.3161551066685</v>
      </c>
      <c r="BF557" s="30" t="str">
        <f t="shared" si="521"/>
        <v>-0,00842972871737507-0,00843123758333847i</v>
      </c>
      <c r="BG557" s="68">
        <f t="shared" si="522"/>
        <v>-38.472650714138</v>
      </c>
      <c r="BH557" s="31">
        <f t="shared" si="523"/>
        <v>-134.994872675161</v>
      </c>
      <c r="BI557" s="30" t="str">
        <f t="shared" si="476"/>
        <v>0,810231877659007+0,0125008017891208i</v>
      </c>
      <c r="BJ557" s="68">
        <f t="shared" si="524"/>
        <v>-1.82677979123348</v>
      </c>
      <c r="BK557" s="31">
        <f t="shared" si="477"/>
        <v>0.883927648943192</v>
      </c>
      <c r="BL557" s="32">
        <f t="shared" si="525"/>
        <v>-38.472650714138</v>
      </c>
      <c r="BM557" s="31">
        <f t="shared" si="526"/>
        <v>-134.994872675161</v>
      </c>
      <c r="BO557">
        <f t="shared" si="527"/>
        <v>0</v>
      </c>
      <c r="BP557">
        <f t="shared" si="528"/>
        <v>0</v>
      </c>
    </row>
    <row r="558" spans="14:68">
      <c r="N558" s="7">
        <v>40</v>
      </c>
      <c r="O558" s="18">
        <f t="shared" si="478"/>
        <v>2511886.43150959</v>
      </c>
      <c r="P558" s="86" t="str">
        <f t="shared" si="479"/>
        <v>54,5454545454545</v>
      </c>
      <c r="Q558" s="4" t="str">
        <f t="shared" si="480"/>
        <v>1+32139,2103093392i</v>
      </c>
      <c r="R558" s="4">
        <f t="shared" si="491"/>
        <v>32139.2103248965</v>
      </c>
      <c r="S558" s="4">
        <f t="shared" si="492"/>
        <v>1.57076521215362</v>
      </c>
      <c r="T558" s="4" t="str">
        <f t="shared" si="481"/>
        <v>1+247,471919381912i</v>
      </c>
      <c r="U558" s="4">
        <f t="shared" si="493"/>
        <v>247.473939804917</v>
      </c>
      <c r="V558" s="4">
        <f t="shared" si="494"/>
        <v>1.5667554862838</v>
      </c>
      <c r="W558" t="str">
        <f t="shared" si="482"/>
        <v>1-710,219156389417i</v>
      </c>
      <c r="X558" s="4">
        <f t="shared" si="495"/>
        <v>710.219860397113</v>
      </c>
      <c r="Y558" s="4">
        <f t="shared" si="496"/>
        <v>-1.56938831163483</v>
      </c>
      <c r="Z558" t="str">
        <f t="shared" si="483"/>
        <v>-50,5067219983836+49,0389417506978i</v>
      </c>
      <c r="AA558" s="4">
        <f t="shared" si="497"/>
        <v>70.3970651025335</v>
      </c>
      <c r="AB558" s="4">
        <f t="shared" si="498"/>
        <v>2.37093821520026</v>
      </c>
      <c r="AC558" s="67" t="str">
        <f t="shared" si="499"/>
        <v>-2,94381740627958+3,04775425114344i</v>
      </c>
      <c r="AD558" s="68">
        <f t="shared" si="500"/>
        <v>12.5418218995968</v>
      </c>
      <c r="AE558" s="31">
        <f t="shared" si="501"/>
        <v>134.006179739562</v>
      </c>
      <c r="AF558" s="32" t="str">
        <f t="shared" si="502"/>
        <v>432,040091031901</v>
      </c>
      <c r="AG558" s="32" t="str">
        <f t="shared" si="484"/>
        <v>1+26187,5046964986i</v>
      </c>
      <c r="AH558" s="32">
        <f t="shared" si="503"/>
        <v>26187.5047155917</v>
      </c>
      <c r="AI558" s="32">
        <f t="shared" si="504"/>
        <v>1.57075814064425</v>
      </c>
      <c r="AJ558" s="32" t="str">
        <f t="shared" si="485"/>
        <v>1+247,471919381912i</v>
      </c>
      <c r="AK558" s="32">
        <f t="shared" si="505"/>
        <v>247.473939804917</v>
      </c>
      <c r="AL558" s="32">
        <f t="shared" si="506"/>
        <v>1.5667554862838</v>
      </c>
      <c r="AM558" s="32" t="str">
        <f t="shared" si="486"/>
        <v>1-73,0594633587584i</v>
      </c>
      <c r="AN558" s="32">
        <f t="shared" si="507"/>
        <v>73.0663067786361</v>
      </c>
      <c r="AO558" s="32">
        <f t="shared" si="508"/>
        <v>-1.55710970069602</v>
      </c>
      <c r="AP558" s="30" t="str">
        <f t="shared" si="509"/>
        <v>2,88883863790323-298,302020176839i</v>
      </c>
      <c r="AQ558" s="32">
        <f t="shared" si="510"/>
        <v>49.4935311752136</v>
      </c>
      <c r="AR558" s="31">
        <f t="shared" si="511"/>
        <v>-89.4451492904641</v>
      </c>
      <c r="AS558" t="str">
        <f t="shared" si="487"/>
        <v>-0,000201496259351621</v>
      </c>
      <c r="AT558" t="str">
        <f t="shared" si="488"/>
        <v>3,54636098757115i</v>
      </c>
      <c r="AU558">
        <f t="shared" si="512"/>
        <v>3.54636098757115</v>
      </c>
      <c r="AV558">
        <f t="shared" si="513"/>
        <v>1.5707963267949</v>
      </c>
      <c r="AW558" t="str">
        <f t="shared" si="489"/>
        <v>1+181,567177893155i</v>
      </c>
      <c r="AX558">
        <f t="shared" si="514"/>
        <v>181.569931673955</v>
      </c>
      <c r="AY558">
        <f t="shared" si="515"/>
        <v>1.56528877911719</v>
      </c>
      <c r="AZ558" t="str">
        <f t="shared" si="490"/>
        <v>1+8680,45635587063i</v>
      </c>
      <c r="BA558">
        <f t="shared" si="516"/>
        <v>8680.45641347129</v>
      </c>
      <c r="BB558">
        <f t="shared" si="517"/>
        <v>1.57068112547891</v>
      </c>
      <c r="BC558" s="30" t="str">
        <f t="shared" si="518"/>
        <v>-0,0000146473261936946+0,00271629143274218i</v>
      </c>
      <c r="BD558" s="32">
        <f t="shared" si="519"/>
        <v>-51.3203464407167</v>
      </c>
      <c r="BE558" s="31">
        <f t="shared" si="520"/>
        <v>90.3089586881989</v>
      </c>
      <c r="BF558" s="30" t="str">
        <f t="shared" si="521"/>
        <v>-0,00823546970768003-0,00804090745090925i</v>
      </c>
      <c r="BG558" s="68">
        <f t="shared" si="522"/>
        <v>-38.7785245411199</v>
      </c>
      <c r="BH558" s="31">
        <f t="shared" si="523"/>
        <v>-135.684861572239</v>
      </c>
      <c r="BI558" s="30" t="str">
        <f t="shared" si="476"/>
        <v>0,810232908014182+0,0122162546364794i</v>
      </c>
      <c r="BJ558" s="68">
        <f t="shared" si="524"/>
        <v>-1.8268152655031</v>
      </c>
      <c r="BK558" s="31">
        <f t="shared" si="477"/>
        <v>0.863809397734844</v>
      </c>
      <c r="BL558" s="32">
        <f t="shared" si="525"/>
        <v>-38.7785245411199</v>
      </c>
      <c r="BM558" s="31">
        <f t="shared" si="526"/>
        <v>-135.684861572239</v>
      </c>
      <c r="BO558">
        <f t="shared" si="527"/>
        <v>0</v>
      </c>
      <c r="BP558">
        <f t="shared" si="528"/>
        <v>0</v>
      </c>
    </row>
    <row r="559" spans="14:68">
      <c r="N559" s="7">
        <v>41</v>
      </c>
      <c r="O559" s="18">
        <f t="shared" si="478"/>
        <v>2570395.78276887</v>
      </c>
      <c r="P559" s="86" t="str">
        <f t="shared" si="479"/>
        <v>54,5454545454545</v>
      </c>
      <c r="Q559" s="4" t="str">
        <f t="shared" si="480"/>
        <v>1+32887,8286869841i</v>
      </c>
      <c r="R559" s="4">
        <f t="shared" si="491"/>
        <v>32887.8287021873</v>
      </c>
      <c r="S559" s="4">
        <f t="shared" si="492"/>
        <v>1.57076592040932</v>
      </c>
      <c r="T559" s="4" t="str">
        <f t="shared" si="481"/>
        <v>1+253,236280889778i</v>
      </c>
      <c r="U559" s="4">
        <f t="shared" si="493"/>
        <v>253.238255322703</v>
      </c>
      <c r="V559" s="4">
        <f t="shared" si="494"/>
        <v>1.56684746607617</v>
      </c>
      <c r="W559" t="str">
        <f t="shared" si="482"/>
        <v>1-726,762285716837i</v>
      </c>
      <c r="X559" s="4">
        <f t="shared" si="495"/>
        <v>726.762973699377</v>
      </c>
      <c r="Y559" s="4">
        <f t="shared" si="496"/>
        <v>-1.56942036193189</v>
      </c>
      <c r="Z559" t="str">
        <f t="shared" si="483"/>
        <v>-52,9341590210285+50,181205442353i</v>
      </c>
      <c r="AA559" s="4">
        <f t="shared" si="497"/>
        <v>72.9395542275326</v>
      </c>
      <c r="AB559" s="4">
        <f t="shared" si="498"/>
        <v>2.38288595170177</v>
      </c>
      <c r="AC559" s="67" t="str">
        <f t="shared" si="499"/>
        <v>-2,87139284214601+3,04438364549073i</v>
      </c>
      <c r="AD559" s="68">
        <f t="shared" si="500"/>
        <v>12.433647295293</v>
      </c>
      <c r="AE559" s="31">
        <f t="shared" si="501"/>
        <v>133.325017990379</v>
      </c>
      <c r="AF559" s="32" t="str">
        <f t="shared" si="502"/>
        <v>432,040091031901</v>
      </c>
      <c r="AG559" s="32" t="str">
        <f t="shared" si="484"/>
        <v>1+26797,4900412463i</v>
      </c>
      <c r="AH559" s="32">
        <f t="shared" si="503"/>
        <v>26797.4900599048</v>
      </c>
      <c r="AI559" s="32">
        <f t="shared" si="504"/>
        <v>1.57075900986715</v>
      </c>
      <c r="AJ559" s="32" t="str">
        <f t="shared" si="485"/>
        <v>1+253,236280889778i</v>
      </c>
      <c r="AK559" s="32">
        <f t="shared" si="505"/>
        <v>253.238255322703</v>
      </c>
      <c r="AL559" s="32">
        <f t="shared" si="506"/>
        <v>1.56684746607617</v>
      </c>
      <c r="AM559" s="32" t="str">
        <f t="shared" si="486"/>
        <v>1-74,7612368748098i</v>
      </c>
      <c r="AN559" s="32">
        <f t="shared" si="507"/>
        <v>74.7679245335285</v>
      </c>
      <c r="AO559" s="32">
        <f t="shared" si="508"/>
        <v>-1.55742120875475</v>
      </c>
      <c r="AP559" s="30" t="str">
        <f t="shared" si="509"/>
        <v>2,88883860973847-305,249612085011i</v>
      </c>
      <c r="AQ559" s="32">
        <f t="shared" si="510"/>
        <v>49.6934913708419</v>
      </c>
      <c r="AR559" s="31">
        <f t="shared" si="511"/>
        <v>-89.4577771364141</v>
      </c>
      <c r="AS559" t="str">
        <f t="shared" si="487"/>
        <v>-0,000201496259351621</v>
      </c>
      <c r="AT559" t="str">
        <f t="shared" si="488"/>
        <v>3,62896634667941i</v>
      </c>
      <c r="AU559">
        <f t="shared" si="512"/>
        <v>3.62896634667941</v>
      </c>
      <c r="AV559">
        <f t="shared" si="513"/>
        <v>1.5707963267949</v>
      </c>
      <c r="AW559" t="str">
        <f t="shared" si="489"/>
        <v>1+185,796420766259i</v>
      </c>
      <c r="AX559">
        <f t="shared" si="514"/>
        <v>185.799111864273</v>
      </c>
      <c r="AY559">
        <f t="shared" si="515"/>
        <v>1.56541414375879</v>
      </c>
      <c r="AZ559" t="str">
        <f t="shared" si="490"/>
        <v>1+8882,65015876133i</v>
      </c>
      <c r="BA559">
        <f t="shared" si="516"/>
        <v>8882.65021505083</v>
      </c>
      <c r="BB559">
        <f t="shared" si="517"/>
        <v>1.57068374778099</v>
      </c>
      <c r="BC559" s="30" t="str">
        <f t="shared" si="518"/>
        <v>-0,0000139881070165761+0,00265446463911157i</v>
      </c>
      <c r="BD559" s="32">
        <f t="shared" si="519"/>
        <v>-51.5203405143195</v>
      </c>
      <c r="BE559" s="31">
        <f t="shared" si="520"/>
        <v>90.3019260701768</v>
      </c>
      <c r="BF559" s="30" t="str">
        <f t="shared" si="521"/>
        <v>-0,00804104338448215-0,00766459592870729i</v>
      </c>
      <c r="BG559" s="68">
        <f t="shared" si="522"/>
        <v>-39.0866932190265</v>
      </c>
      <c r="BH559" s="31">
        <f t="shared" si="523"/>
        <v>-136.373055939445</v>
      </c>
      <c r="BI559" s="30" t="str">
        <f t="shared" si="476"/>
        <v>0,810233891998559+0,0119381841782645i</v>
      </c>
      <c r="BJ559" s="68">
        <f t="shared" si="524"/>
        <v>-1.82684914347768</v>
      </c>
      <c r="BK559" s="31">
        <f t="shared" si="477"/>
        <v>0.844148933762724</v>
      </c>
      <c r="BL559" s="32">
        <f t="shared" si="525"/>
        <v>-39.0866932190265</v>
      </c>
      <c r="BM559" s="31">
        <f t="shared" si="526"/>
        <v>-136.373055939445</v>
      </c>
      <c r="BO559">
        <f t="shared" si="527"/>
        <v>0</v>
      </c>
      <c r="BP559">
        <f t="shared" si="528"/>
        <v>0</v>
      </c>
    </row>
    <row r="560" ht="15.75" spans="14:68">
      <c r="N560" s="7">
        <v>42</v>
      </c>
      <c r="O560" s="18">
        <f t="shared" si="478"/>
        <v>2630267.99189538</v>
      </c>
      <c r="P560" s="86" t="str">
        <f t="shared" si="479"/>
        <v>54,5454545454545</v>
      </c>
      <c r="Q560" s="4" t="str">
        <f t="shared" si="480"/>
        <v>1+33653,8846267207i</v>
      </c>
      <c r="R560" s="4">
        <f t="shared" si="491"/>
        <v>33653.8846415778</v>
      </c>
      <c r="S560" s="4">
        <f t="shared" si="492"/>
        <v>1.57076661254316</v>
      </c>
      <c r="T560" s="4" t="str">
        <f t="shared" si="481"/>
        <v>1+259,13491162575i</v>
      </c>
      <c r="U560" s="4">
        <f t="shared" si="493"/>
        <v>259.136841115433</v>
      </c>
      <c r="V560" s="4">
        <f t="shared" si="494"/>
        <v>1.56693735221742</v>
      </c>
      <c r="W560" t="str">
        <f t="shared" si="482"/>
        <v>1-743,690754027982i</v>
      </c>
      <c r="X560" s="4">
        <f t="shared" si="495"/>
        <v>743.691426350142</v>
      </c>
      <c r="Y560" s="4">
        <f t="shared" si="496"/>
        <v>-1.56945168267784</v>
      </c>
      <c r="Z560" t="str">
        <f t="shared" si="483"/>
        <v>-55,4759976260358+51,3500758733606i</v>
      </c>
      <c r="AA560" s="4">
        <f t="shared" si="497"/>
        <v>75.5937603562875</v>
      </c>
      <c r="AB560" s="4">
        <f t="shared" si="498"/>
        <v>2.39479809957259</v>
      </c>
      <c r="AC560" s="74" t="str">
        <f t="shared" si="499"/>
        <v>-2,79927665883638+3,03930887091836i</v>
      </c>
      <c r="AD560" s="75">
        <f t="shared" si="500"/>
        <v>12.3231869822597</v>
      </c>
      <c r="AE560" s="76">
        <f t="shared" si="501"/>
        <v>132.645818086073</v>
      </c>
      <c r="AF560" s="32" t="str">
        <f t="shared" si="502"/>
        <v>432,040091031901</v>
      </c>
      <c r="AG560" s="32" t="str">
        <f t="shared" si="484"/>
        <v>1+27421,6837699206i</v>
      </c>
      <c r="AH560" s="32">
        <f t="shared" si="503"/>
        <v>27421.6837881543</v>
      </c>
      <c r="AI560" s="32">
        <f t="shared" si="504"/>
        <v>1.57075985930413</v>
      </c>
      <c r="AJ560" s="32" t="str">
        <f t="shared" si="485"/>
        <v>1+259,13491162575i</v>
      </c>
      <c r="AK560" s="32">
        <f t="shared" si="505"/>
        <v>259.136841115433</v>
      </c>
      <c r="AL560" s="32">
        <f t="shared" si="506"/>
        <v>1.56693735221742</v>
      </c>
      <c r="AM560" s="32" t="str">
        <f t="shared" si="486"/>
        <v>1-76,5026497882343i</v>
      </c>
      <c r="AN560" s="32">
        <f t="shared" si="507"/>
        <v>76.5091852304102</v>
      </c>
      <c r="AO560" s="32">
        <f t="shared" si="508"/>
        <v>-1.55772562853279</v>
      </c>
      <c r="AP560" s="69" t="str">
        <f t="shared" si="509"/>
        <v>2,88883858284132-312,359051377966i</v>
      </c>
      <c r="AQ560" s="73">
        <f t="shared" si="510"/>
        <v>49.8934533576717</v>
      </c>
      <c r="AR560" s="76">
        <f t="shared" si="511"/>
        <v>-89.4701176775198</v>
      </c>
      <c r="AS560" t="str">
        <f t="shared" si="487"/>
        <v>-0,000201496259351621</v>
      </c>
      <c r="AT560" t="str">
        <f t="shared" si="488"/>
        <v>3,71349583177972i</v>
      </c>
      <c r="AU560">
        <f t="shared" si="512"/>
        <v>3.71349583177972</v>
      </c>
      <c r="AV560">
        <f t="shared" si="513"/>
        <v>1.5707963267949</v>
      </c>
      <c r="AW560" t="str">
        <f t="shared" si="489"/>
        <v>1+190,124175360958i</v>
      </c>
      <c r="AX560">
        <f t="shared" si="514"/>
        <v>190.12680520296</v>
      </c>
      <c r="AY560">
        <f t="shared" si="515"/>
        <v>1.56553665491623</v>
      </c>
      <c r="AZ560" t="str">
        <f t="shared" si="490"/>
        <v>1+9089,55366034198i</v>
      </c>
      <c r="BA560">
        <f t="shared" si="516"/>
        <v>9089.55371535018</v>
      </c>
      <c r="BB560">
        <f t="shared" si="517"/>
        <v>1.57068631039218</v>
      </c>
      <c r="BC560" s="69" t="str">
        <f t="shared" si="518"/>
        <v>-0,0000133585559096211+0,00259404495831367i</v>
      </c>
      <c r="BD560" s="73">
        <f t="shared" si="519"/>
        <v>-51.7203348546466</v>
      </c>
      <c r="BE560" s="76">
        <f t="shared" si="520"/>
        <v>90.2950535247185</v>
      </c>
      <c r="BF560" s="69" t="str">
        <f t="shared" si="521"/>
        <v>-0,00784670955961022-0,00730205028125842i</v>
      </c>
      <c r="BG560" s="75">
        <f t="shared" si="522"/>
        <v>-39.3971478723869</v>
      </c>
      <c r="BH560" s="76">
        <f t="shared" si="523"/>
        <v>-137.059128389208</v>
      </c>
      <c r="BI560" s="69" t="str">
        <f t="shared" si="476"/>
        <v>0,810234831698931+0,0116664430129103i</v>
      </c>
      <c r="BJ560" s="75">
        <f t="shared" si="524"/>
        <v>-1.82688149697493</v>
      </c>
      <c r="BK560" s="76">
        <f t="shared" si="477"/>
        <v>0.824935847198711</v>
      </c>
      <c r="BL560" s="73">
        <f t="shared" si="525"/>
        <v>-39.3971478723869</v>
      </c>
      <c r="BM560" s="76">
        <f t="shared" si="526"/>
        <v>-137.059128389208</v>
      </c>
    </row>
    <row r="561" spans="14:30">
      <c r="N561" s="7"/>
      <c r="P561" s="86"/>
      <c r="Q561" s="4"/>
      <c r="R561" s="4"/>
      <c r="S561" s="4"/>
      <c r="T561" s="4"/>
      <c r="U561" s="4"/>
      <c r="V561" s="4"/>
      <c r="X561" s="4"/>
      <c r="Y561" s="4"/>
      <c r="AA561" s="4"/>
      <c r="AB561" s="4"/>
      <c r="AC561" s="4"/>
      <c r="AD561" s="95"/>
    </row>
    <row r="562" spans="14:30">
      <c r="N562" s="7"/>
      <c r="P562" s="86"/>
      <c r="Q562" s="4"/>
      <c r="R562" s="4"/>
      <c r="S562" s="4"/>
      <c r="T562" s="4"/>
      <c r="U562" s="4"/>
      <c r="V562" s="4"/>
      <c r="X562" s="4"/>
      <c r="Y562" s="4"/>
      <c r="AA562" s="4"/>
      <c r="AB562" s="4"/>
      <c r="AC562" s="4"/>
      <c r="AD562" s="95"/>
    </row>
    <row r="563" spans="14:30">
      <c r="N563" s="7"/>
      <c r="P563" s="86"/>
      <c r="Q563" s="4"/>
      <c r="R563" s="4"/>
      <c r="S563" s="4"/>
      <c r="T563" s="4"/>
      <c r="U563" s="4"/>
      <c r="V563" s="4"/>
      <c r="X563" s="4"/>
      <c r="Y563" s="4"/>
      <c r="AA563" s="4"/>
      <c r="AB563" s="4"/>
      <c r="AC563" s="4"/>
      <c r="AD563" s="95"/>
    </row>
    <row r="564" spans="14:30">
      <c r="N564" s="7"/>
      <c r="P564" s="86"/>
      <c r="Q564" s="4"/>
      <c r="R564" s="4"/>
      <c r="S564" s="4"/>
      <c r="T564" s="4"/>
      <c r="U564" s="4"/>
      <c r="V564" s="4"/>
      <c r="X564" s="4"/>
      <c r="Y564" s="4"/>
      <c r="AA564" s="4"/>
      <c r="AB564" s="4"/>
      <c r="AC564" s="4"/>
      <c r="AD564" s="95"/>
    </row>
    <row r="565" spans="14:30">
      <c r="N565" s="7"/>
      <c r="P565" s="86"/>
      <c r="Q565" s="4"/>
      <c r="R565" s="4"/>
      <c r="S565" s="4"/>
      <c r="T565" s="4"/>
      <c r="U565" s="4"/>
      <c r="V565" s="4"/>
      <c r="X565" s="4"/>
      <c r="Y565" s="4"/>
      <c r="AA565" s="4"/>
      <c r="AB565" s="4"/>
      <c r="AC565" s="4"/>
      <c r="AD565" s="95"/>
    </row>
    <row r="566" spans="14:30">
      <c r="N566" s="7"/>
      <c r="P566" s="86"/>
      <c r="Q566" s="4"/>
      <c r="R566" s="4"/>
      <c r="S566" s="4"/>
      <c r="T566" s="4"/>
      <c r="U566" s="4"/>
      <c r="V566" s="4"/>
      <c r="X566" s="4"/>
      <c r="Y566" s="4"/>
      <c r="AA566" s="4"/>
      <c r="AB566" s="4"/>
      <c r="AC566" s="4"/>
      <c r="AD566" s="95"/>
    </row>
    <row r="567" spans="14:30">
      <c r="N567" s="7"/>
      <c r="P567" s="86"/>
      <c r="Q567" s="4"/>
      <c r="R567" s="4"/>
      <c r="S567" s="4"/>
      <c r="T567" s="4"/>
      <c r="U567" s="4"/>
      <c r="V567" s="4"/>
      <c r="X567" s="4"/>
      <c r="Y567" s="4"/>
      <c r="AA567" s="4"/>
      <c r="AB567" s="4"/>
      <c r="AC567" s="4"/>
      <c r="AD567" s="95"/>
    </row>
    <row r="568" spans="14:30">
      <c r="N568" s="7"/>
      <c r="P568" s="86"/>
      <c r="Q568" s="4"/>
      <c r="R568" s="4"/>
      <c r="S568" s="4"/>
      <c r="T568" s="4"/>
      <c r="U568" s="4"/>
      <c r="V568" s="4"/>
      <c r="X568" s="4"/>
      <c r="Y568" s="4"/>
      <c r="AA568" s="4"/>
      <c r="AB568" s="4"/>
      <c r="AC568" s="4"/>
      <c r="AD568" s="95"/>
    </row>
    <row r="569" spans="14:30">
      <c r="N569" s="7"/>
      <c r="P569" s="86"/>
      <c r="Q569" s="4"/>
      <c r="R569" s="4"/>
      <c r="S569" s="4"/>
      <c r="T569" s="4"/>
      <c r="U569" s="4"/>
      <c r="V569" s="4"/>
      <c r="X569" s="4"/>
      <c r="Y569" s="4"/>
      <c r="AA569" s="4"/>
      <c r="AB569" s="4"/>
      <c r="AC569" s="4"/>
      <c r="AD569" s="95"/>
    </row>
    <row r="570" spans="14:30">
      <c r="N570" s="7"/>
      <c r="P570" s="86"/>
      <c r="Q570" s="4"/>
      <c r="R570" s="4"/>
      <c r="S570" s="4"/>
      <c r="T570" s="4"/>
      <c r="U570" s="4"/>
      <c r="V570" s="4"/>
      <c r="X570" s="4"/>
      <c r="Y570" s="4"/>
      <c r="AA570" s="4"/>
      <c r="AB570" s="4"/>
      <c r="AC570" s="4"/>
      <c r="AD570" s="95"/>
    </row>
    <row r="571" spans="14:30">
      <c r="N571" s="7"/>
      <c r="P571" s="86"/>
      <c r="Q571" s="4"/>
      <c r="R571" s="4"/>
      <c r="S571" s="4"/>
      <c r="T571" s="4"/>
      <c r="U571" s="4"/>
      <c r="V571" s="4"/>
      <c r="X571" s="4"/>
      <c r="Y571" s="4"/>
      <c r="AA571" s="4"/>
      <c r="AB571" s="4"/>
      <c r="AC571" s="4"/>
      <c r="AD571" s="95"/>
    </row>
    <row r="572" spans="14:30">
      <c r="N572" s="7"/>
      <c r="P572" s="86"/>
      <c r="Q572" s="4"/>
      <c r="R572" s="4"/>
      <c r="S572" s="4"/>
      <c r="T572" s="4"/>
      <c r="U572" s="4"/>
      <c r="V572" s="4"/>
      <c r="X572" s="4"/>
      <c r="Y572" s="4"/>
      <c r="AA572" s="4"/>
      <c r="AB572" s="4"/>
      <c r="AC572" s="4"/>
      <c r="AD572" s="95"/>
    </row>
    <row r="573" spans="14:30">
      <c r="N573" s="7"/>
      <c r="P573" s="86"/>
      <c r="Q573" s="4"/>
      <c r="R573" s="4"/>
      <c r="S573" s="4"/>
      <c r="T573" s="4"/>
      <c r="U573" s="4"/>
      <c r="V573" s="4"/>
      <c r="X573" s="4"/>
      <c r="Y573" s="4"/>
      <c r="AA573" s="4"/>
      <c r="AB573" s="4"/>
      <c r="AC573" s="4"/>
      <c r="AD573" s="95"/>
    </row>
    <row r="574" spans="14:30">
      <c r="N574" s="7"/>
      <c r="P574" s="86"/>
      <c r="Q574" s="4"/>
      <c r="R574" s="4"/>
      <c r="S574" s="4"/>
      <c r="T574" s="4"/>
      <c r="U574" s="4"/>
      <c r="V574" s="4"/>
      <c r="X574" s="4"/>
      <c r="Y574" s="4"/>
      <c r="AA574" s="4"/>
      <c r="AB574" s="4"/>
      <c r="AC574" s="4"/>
      <c r="AD574" s="95"/>
    </row>
    <row r="575" spans="14:30">
      <c r="N575" s="7"/>
      <c r="P575" s="86"/>
      <c r="Q575" s="4"/>
      <c r="R575" s="4"/>
      <c r="S575" s="4"/>
      <c r="T575" s="4"/>
      <c r="U575" s="4"/>
      <c r="V575" s="4"/>
      <c r="X575" s="4"/>
      <c r="Y575" s="4"/>
      <c r="AA575" s="4"/>
      <c r="AB575" s="4"/>
      <c r="AC575" s="4"/>
      <c r="AD575" s="95"/>
    </row>
    <row r="576" spans="14:30">
      <c r="N576" s="7"/>
      <c r="P576" s="86"/>
      <c r="Q576" s="4"/>
      <c r="R576" s="4"/>
      <c r="S576" s="4"/>
      <c r="T576" s="4"/>
      <c r="U576" s="4"/>
      <c r="V576" s="4"/>
      <c r="X576" s="4"/>
      <c r="Y576" s="4"/>
      <c r="AA576" s="4"/>
      <c r="AB576" s="4"/>
      <c r="AC576" s="4"/>
      <c r="AD576" s="95"/>
    </row>
    <row r="577" spans="14:30">
      <c r="N577" s="7"/>
      <c r="P577" s="86"/>
      <c r="Q577" s="4"/>
      <c r="R577" s="4"/>
      <c r="S577" s="4"/>
      <c r="T577" s="4"/>
      <c r="U577" s="4"/>
      <c r="V577" s="4"/>
      <c r="X577" s="4"/>
      <c r="Y577" s="4"/>
      <c r="AA577" s="4"/>
      <c r="AB577" s="4"/>
      <c r="AC577" s="4"/>
      <c r="AD577" s="95"/>
    </row>
    <row r="578" spans="14:30">
      <c r="N578" s="7"/>
      <c r="P578" s="86"/>
      <c r="Q578" s="4"/>
      <c r="R578" s="4"/>
      <c r="S578" s="4"/>
      <c r="T578" s="4"/>
      <c r="U578" s="4"/>
      <c r="V578" s="4"/>
      <c r="X578" s="4"/>
      <c r="Y578" s="4"/>
      <c r="AA578" s="4"/>
      <c r="AB578" s="4"/>
      <c r="AC578" s="4"/>
      <c r="AD578" s="95"/>
    </row>
    <row r="579" spans="14:30">
      <c r="N579" s="7"/>
      <c r="P579" s="86"/>
      <c r="Q579" s="4"/>
      <c r="R579" s="4"/>
      <c r="S579" s="4"/>
      <c r="T579" s="4"/>
      <c r="U579" s="4"/>
      <c r="V579" s="4"/>
      <c r="X579" s="4"/>
      <c r="Y579" s="4"/>
      <c r="AA579" s="4"/>
      <c r="AB579" s="4"/>
      <c r="AC579" s="4"/>
      <c r="AD579" s="95"/>
    </row>
    <row r="580" spans="14:30">
      <c r="N580" s="7"/>
      <c r="P580" s="86"/>
      <c r="Q580" s="4"/>
      <c r="R580" s="4"/>
      <c r="S580" s="4"/>
      <c r="T580" s="4"/>
      <c r="U580" s="4"/>
      <c r="V580" s="4"/>
      <c r="X580" s="4"/>
      <c r="Y580" s="4"/>
      <c r="AA580" s="4"/>
      <c r="AB580" s="4"/>
      <c r="AC580" s="4"/>
      <c r="AD580" s="95"/>
    </row>
    <row r="581" spans="14:30">
      <c r="N581" s="7"/>
      <c r="P581" s="86"/>
      <c r="Q581" s="4"/>
      <c r="R581" s="4"/>
      <c r="S581" s="4"/>
      <c r="T581" s="4"/>
      <c r="U581" s="4"/>
      <c r="V581" s="4"/>
      <c r="X581" s="4"/>
      <c r="Y581" s="4"/>
      <c r="AA581" s="4"/>
      <c r="AB581" s="4"/>
      <c r="AC581" s="4"/>
      <c r="AD581" s="95"/>
    </row>
    <row r="582" spans="14:30">
      <c r="N582" s="7"/>
      <c r="P582" s="86"/>
      <c r="Q582" s="4"/>
      <c r="R582" s="4"/>
      <c r="S582" s="4"/>
      <c r="T582" s="4"/>
      <c r="U582" s="4"/>
      <c r="V582" s="4"/>
      <c r="X582" s="4"/>
      <c r="Y582" s="4"/>
      <c r="AA582" s="4"/>
      <c r="AB582" s="4"/>
      <c r="AC582" s="4"/>
      <c r="AD582" s="95"/>
    </row>
    <row r="583" spans="14:30">
      <c r="N583" s="7"/>
      <c r="P583" s="86"/>
      <c r="Q583" s="4"/>
      <c r="R583" s="4"/>
      <c r="S583" s="4"/>
      <c r="T583" s="4"/>
      <c r="U583" s="4"/>
      <c r="V583" s="4"/>
      <c r="X583" s="4"/>
      <c r="Y583" s="4"/>
      <c r="AA583" s="4"/>
      <c r="AB583" s="4"/>
      <c r="AC583" s="4"/>
      <c r="AD583" s="95"/>
    </row>
    <row r="584" spans="14:30">
      <c r="N584" s="7"/>
      <c r="P584" s="86"/>
      <c r="Q584" s="4"/>
      <c r="R584" s="4"/>
      <c r="S584" s="4"/>
      <c r="T584" s="4"/>
      <c r="U584" s="4"/>
      <c r="V584" s="4"/>
      <c r="X584" s="4"/>
      <c r="Y584" s="4"/>
      <c r="AA584" s="4"/>
      <c r="AB584" s="4"/>
      <c r="AC584" s="4"/>
      <c r="AD584" s="95"/>
    </row>
    <row r="585" spans="14:30">
      <c r="N585" s="7"/>
      <c r="P585" s="86"/>
      <c r="Q585" s="4"/>
      <c r="R585" s="4"/>
      <c r="S585" s="4"/>
      <c r="T585" s="4"/>
      <c r="U585" s="4"/>
      <c r="V585" s="4"/>
      <c r="X585" s="4"/>
      <c r="Y585" s="4"/>
      <c r="AA585" s="4"/>
      <c r="AB585" s="4"/>
      <c r="AC585" s="4"/>
      <c r="AD585" s="95"/>
    </row>
    <row r="586" spans="14:30">
      <c r="N586" s="7"/>
      <c r="P586" s="86"/>
      <c r="Q586" s="4"/>
      <c r="R586" s="4"/>
      <c r="S586" s="4"/>
      <c r="T586" s="4"/>
      <c r="U586" s="4"/>
      <c r="V586" s="4"/>
      <c r="X586" s="4"/>
      <c r="Y586" s="4"/>
      <c r="AA586" s="4"/>
      <c r="AB586" s="4"/>
      <c r="AC586" s="4"/>
      <c r="AD586" s="95"/>
    </row>
    <row r="587" spans="14:30">
      <c r="N587" s="7"/>
      <c r="P587" s="86"/>
      <c r="Q587" s="4"/>
      <c r="R587" s="4"/>
      <c r="S587" s="4"/>
      <c r="T587" s="4"/>
      <c r="U587" s="4"/>
      <c r="V587" s="4"/>
      <c r="X587" s="4"/>
      <c r="Y587" s="4"/>
      <c r="AA587" s="4"/>
      <c r="AB587" s="4"/>
      <c r="AC587" s="4"/>
      <c r="AD587" s="95"/>
    </row>
    <row r="588" spans="14:30">
      <c r="N588" s="7"/>
      <c r="P588" s="86"/>
      <c r="Q588" s="4"/>
      <c r="R588" s="4"/>
      <c r="S588" s="4"/>
      <c r="T588" s="4"/>
      <c r="U588" s="4"/>
      <c r="V588" s="4"/>
      <c r="X588" s="4"/>
      <c r="Y588" s="4"/>
      <c r="AA588" s="4"/>
      <c r="AB588" s="4"/>
      <c r="AC588" s="4"/>
      <c r="AD588" s="95"/>
    </row>
    <row r="589" spans="14:30">
      <c r="N589" s="7"/>
      <c r="P589" s="86"/>
      <c r="Q589" s="4"/>
      <c r="R589" s="4"/>
      <c r="S589" s="4"/>
      <c r="T589" s="4"/>
      <c r="U589" s="4"/>
      <c r="V589" s="4"/>
      <c r="X589" s="4"/>
      <c r="Y589" s="4"/>
      <c r="AA589" s="4"/>
      <c r="AB589" s="4"/>
      <c r="AC589" s="4"/>
      <c r="AD589" s="95"/>
    </row>
    <row r="590" spans="14:30">
      <c r="N590" s="7"/>
      <c r="P590" s="86"/>
      <c r="Q590" s="4"/>
      <c r="R590" s="4"/>
      <c r="S590" s="4"/>
      <c r="T590" s="4"/>
      <c r="U590" s="4"/>
      <c r="V590" s="4"/>
      <c r="X590" s="4"/>
      <c r="Y590" s="4"/>
      <c r="AA590" s="4"/>
      <c r="AB590" s="4"/>
      <c r="AC590" s="4"/>
      <c r="AD590" s="95"/>
    </row>
    <row r="591" spans="14:30">
      <c r="N591" s="7"/>
      <c r="P591" s="86"/>
      <c r="Q591" s="4"/>
      <c r="R591" s="4"/>
      <c r="S591" s="4"/>
      <c r="T591" s="4"/>
      <c r="U591" s="4"/>
      <c r="V591" s="4"/>
      <c r="X591" s="4"/>
      <c r="Y591" s="4"/>
      <c r="AA591" s="4"/>
      <c r="AB591" s="4"/>
      <c r="AC591" s="4"/>
      <c r="AD591" s="95"/>
    </row>
    <row r="592" spans="14:30">
      <c r="N592" s="7"/>
      <c r="P592" s="86"/>
      <c r="Q592" s="4"/>
      <c r="R592" s="4"/>
      <c r="S592" s="4"/>
      <c r="T592" s="4"/>
      <c r="U592" s="4"/>
      <c r="V592" s="4"/>
      <c r="X592" s="4"/>
      <c r="Y592" s="4"/>
      <c r="AA592" s="4"/>
      <c r="AB592" s="4"/>
      <c r="AC592" s="4"/>
      <c r="AD592" s="95"/>
    </row>
    <row r="593" spans="14:30">
      <c r="N593" s="7"/>
      <c r="P593" s="86"/>
      <c r="Q593" s="4"/>
      <c r="R593" s="4"/>
      <c r="S593" s="4"/>
      <c r="T593" s="4"/>
      <c r="U593" s="4"/>
      <c r="V593" s="4"/>
      <c r="X593" s="4"/>
      <c r="Y593" s="4"/>
      <c r="AA593" s="4"/>
      <c r="AB593" s="4"/>
      <c r="AC593" s="4"/>
      <c r="AD593" s="95"/>
    </row>
    <row r="594" spans="14:30">
      <c r="N594" s="7"/>
      <c r="P594" s="86"/>
      <c r="Q594" s="4"/>
      <c r="R594" s="4"/>
      <c r="S594" s="4"/>
      <c r="T594" s="4"/>
      <c r="U594" s="4"/>
      <c r="V594" s="4"/>
      <c r="X594" s="4"/>
      <c r="Y594" s="4"/>
      <c r="AA594" s="4"/>
      <c r="AB594" s="4"/>
      <c r="AC594" s="4"/>
      <c r="AD594" s="95"/>
    </row>
    <row r="595" spans="14:30">
      <c r="N595" s="7"/>
      <c r="P595" s="86"/>
      <c r="Q595" s="4"/>
      <c r="R595" s="4"/>
      <c r="S595" s="4"/>
      <c r="T595" s="4"/>
      <c r="U595" s="4"/>
      <c r="V595" s="4"/>
      <c r="X595" s="4"/>
      <c r="Y595" s="4"/>
      <c r="AA595" s="4"/>
      <c r="AB595" s="4"/>
      <c r="AC595" s="4"/>
      <c r="AD595" s="95"/>
    </row>
    <row r="596" spans="14:30">
      <c r="N596" s="7"/>
      <c r="P596" s="86"/>
      <c r="Q596" s="4"/>
      <c r="R596" s="4"/>
      <c r="S596" s="4"/>
      <c r="T596" s="4"/>
      <c r="U596" s="4"/>
      <c r="V596" s="4"/>
      <c r="X596" s="4"/>
      <c r="Y596" s="4"/>
      <c r="AA596" s="4"/>
      <c r="AB596" s="4"/>
      <c r="AC596" s="4"/>
      <c r="AD596" s="95"/>
    </row>
    <row r="597" spans="14:30">
      <c r="N597" s="7"/>
      <c r="P597" s="86"/>
      <c r="Q597" s="4"/>
      <c r="R597" s="4"/>
      <c r="S597" s="4"/>
      <c r="T597" s="4"/>
      <c r="U597" s="4"/>
      <c r="V597" s="4"/>
      <c r="X597" s="4"/>
      <c r="Y597" s="4"/>
      <c r="AA597" s="4"/>
      <c r="AB597" s="4"/>
      <c r="AC597" s="4"/>
      <c r="AD597" s="95"/>
    </row>
    <row r="598" spans="14:30">
      <c r="N598" s="7"/>
      <c r="P598" s="86"/>
      <c r="Q598" s="4"/>
      <c r="R598" s="4"/>
      <c r="S598" s="4"/>
      <c r="T598" s="4"/>
      <c r="U598" s="4"/>
      <c r="V598" s="4"/>
      <c r="X598" s="4"/>
      <c r="Y598" s="4"/>
      <c r="AA598" s="4"/>
      <c r="AB598" s="4"/>
      <c r="AC598" s="4"/>
      <c r="AD598" s="95"/>
    </row>
    <row r="599" spans="14:30">
      <c r="N599" s="7"/>
      <c r="P599" s="86"/>
      <c r="Q599" s="4"/>
      <c r="R599" s="4"/>
      <c r="S599" s="4"/>
      <c r="T599" s="4"/>
      <c r="U599" s="4"/>
      <c r="V599" s="4"/>
      <c r="X599" s="4"/>
      <c r="Y599" s="4"/>
      <c r="AA599" s="4"/>
      <c r="AB599" s="4"/>
      <c r="AC599" s="4"/>
      <c r="AD599" s="95"/>
    </row>
    <row r="600" spans="14:30">
      <c r="N600" s="7"/>
      <c r="P600" s="86"/>
      <c r="Q600" s="4"/>
      <c r="R600" s="4"/>
      <c r="S600" s="4"/>
      <c r="T600" s="4"/>
      <c r="U600" s="4"/>
      <c r="V600" s="4"/>
      <c r="X600" s="4"/>
      <c r="Y600" s="4"/>
      <c r="AA600" s="4"/>
      <c r="AB600" s="4"/>
      <c r="AC600" s="4"/>
      <c r="AD600" s="95"/>
    </row>
    <row r="601" spans="14:30">
      <c r="N601" s="7"/>
      <c r="P601" s="86"/>
      <c r="Q601" s="4"/>
      <c r="R601" s="4"/>
      <c r="S601" s="4"/>
      <c r="T601" s="4"/>
      <c r="U601" s="4"/>
      <c r="V601" s="4"/>
      <c r="X601" s="4"/>
      <c r="Y601" s="4"/>
      <c r="AA601" s="4"/>
      <c r="AB601" s="4"/>
      <c r="AC601" s="4"/>
      <c r="AD601" s="95"/>
    </row>
    <row r="602" spans="14:30">
      <c r="N602" s="7"/>
      <c r="P602" s="86"/>
      <c r="Q602" s="4"/>
      <c r="R602" s="4"/>
      <c r="S602" s="4"/>
      <c r="T602" s="4"/>
      <c r="U602" s="4"/>
      <c r="V602" s="4"/>
      <c r="X602" s="4"/>
      <c r="Y602" s="4"/>
      <c r="AA602" s="4"/>
      <c r="AB602" s="4"/>
      <c r="AC602" s="4"/>
      <c r="AD602" s="95"/>
    </row>
    <row r="603" spans="14:30">
      <c r="N603" s="7"/>
      <c r="P603" s="86"/>
      <c r="Q603" s="4"/>
      <c r="R603" s="4"/>
      <c r="S603" s="4"/>
      <c r="T603" s="4"/>
      <c r="U603" s="4"/>
      <c r="V603" s="4"/>
      <c r="X603" s="4"/>
      <c r="Y603" s="4"/>
      <c r="AA603" s="4"/>
      <c r="AB603" s="4"/>
      <c r="AC603" s="4"/>
      <c r="AD603" s="95"/>
    </row>
    <row r="604" spans="14:30">
      <c r="N604" s="7"/>
      <c r="P604" s="86"/>
      <c r="Q604" s="4"/>
      <c r="R604" s="4"/>
      <c r="S604" s="4"/>
      <c r="T604" s="4"/>
      <c r="U604" s="4"/>
      <c r="V604" s="4"/>
      <c r="X604" s="4"/>
      <c r="Y604" s="4"/>
      <c r="AA604" s="4"/>
      <c r="AB604" s="4"/>
      <c r="AC604" s="4"/>
      <c r="AD604" s="95"/>
    </row>
    <row r="605" spans="14:30">
      <c r="N605" s="7"/>
      <c r="P605" s="86"/>
      <c r="Q605" s="4"/>
      <c r="R605" s="4"/>
      <c r="S605" s="4"/>
      <c r="T605" s="4"/>
      <c r="U605" s="4"/>
      <c r="V605" s="4"/>
      <c r="X605" s="4"/>
      <c r="Y605" s="4"/>
      <c r="AA605" s="4"/>
      <c r="AB605" s="4"/>
      <c r="AC605" s="4"/>
      <c r="AD605" s="95"/>
    </row>
    <row r="606" spans="14:30">
      <c r="N606" s="7"/>
      <c r="P606" s="86"/>
      <c r="Q606" s="4"/>
      <c r="R606" s="4"/>
      <c r="S606" s="4"/>
      <c r="T606" s="4"/>
      <c r="U606" s="4"/>
      <c r="V606" s="4"/>
      <c r="X606" s="4"/>
      <c r="Y606" s="4"/>
      <c r="AA606" s="4"/>
      <c r="AB606" s="4"/>
      <c r="AC606" s="4"/>
      <c r="AD606" s="95"/>
    </row>
    <row r="607" spans="14:30">
      <c r="N607" s="7"/>
      <c r="P607" s="86"/>
      <c r="Q607" s="4"/>
      <c r="R607" s="4"/>
      <c r="S607" s="4"/>
      <c r="T607" s="4"/>
      <c r="U607" s="4"/>
      <c r="V607" s="4"/>
      <c r="X607" s="4"/>
      <c r="Y607" s="4"/>
      <c r="AA607" s="4"/>
      <c r="AB607" s="4"/>
      <c r="AC607" s="4"/>
      <c r="AD607" s="95"/>
    </row>
    <row r="608" spans="14:30">
      <c r="N608" s="7"/>
      <c r="P608" s="86"/>
      <c r="Q608" s="4"/>
      <c r="R608" s="4"/>
      <c r="S608" s="4"/>
      <c r="T608" s="4"/>
      <c r="U608" s="4"/>
      <c r="V608" s="4"/>
      <c r="X608" s="4"/>
      <c r="Y608" s="4"/>
      <c r="AA608" s="4"/>
      <c r="AB608" s="4"/>
      <c r="AC608" s="4"/>
      <c r="AD608" s="95"/>
    </row>
    <row r="609" spans="14:30">
      <c r="N609" s="7"/>
      <c r="P609" s="86"/>
      <c r="Q609" s="4"/>
      <c r="R609" s="4"/>
      <c r="S609" s="4"/>
      <c r="T609" s="4"/>
      <c r="U609" s="4"/>
      <c r="V609" s="4"/>
      <c r="X609" s="4"/>
      <c r="Y609" s="4"/>
      <c r="AA609" s="4"/>
      <c r="AB609" s="4"/>
      <c r="AC609" s="4"/>
      <c r="AD609" s="95"/>
    </row>
    <row r="610" spans="14:30">
      <c r="N610" s="7"/>
      <c r="P610" s="86"/>
      <c r="Q610" s="4"/>
      <c r="R610" s="4"/>
      <c r="S610" s="4"/>
      <c r="T610" s="4"/>
      <c r="U610" s="4"/>
      <c r="V610" s="4"/>
      <c r="X610" s="4"/>
      <c r="Y610" s="4"/>
      <c r="AA610" s="4"/>
      <c r="AB610" s="4"/>
      <c r="AC610" s="4"/>
      <c r="AD610" s="95"/>
    </row>
    <row r="611" spans="14:30">
      <c r="N611" s="7"/>
      <c r="P611" s="86"/>
      <c r="Q611" s="4"/>
      <c r="R611" s="4"/>
      <c r="S611" s="4"/>
      <c r="T611" s="4"/>
      <c r="U611" s="4"/>
      <c r="V611" s="4"/>
      <c r="X611" s="4"/>
      <c r="Y611" s="4"/>
      <c r="AA611" s="4"/>
      <c r="AB611" s="4"/>
      <c r="AC611" s="4"/>
      <c r="AD611" s="95"/>
    </row>
    <row r="612" spans="14:30">
      <c r="N612" s="7"/>
      <c r="P612" s="86"/>
      <c r="Q612" s="4"/>
      <c r="R612" s="4"/>
      <c r="S612" s="4"/>
      <c r="T612" s="4"/>
      <c r="U612" s="4"/>
      <c r="V612" s="4"/>
      <c r="X612" s="4"/>
      <c r="Y612" s="4"/>
      <c r="AA612" s="4"/>
      <c r="AB612" s="4"/>
      <c r="AC612" s="4"/>
      <c r="AD612" s="95"/>
    </row>
    <row r="613" spans="14:30">
      <c r="N613" s="7"/>
      <c r="P613" s="86"/>
      <c r="Q613" s="4"/>
      <c r="R613" s="4"/>
      <c r="S613" s="4"/>
      <c r="T613" s="4"/>
      <c r="U613" s="4"/>
      <c r="V613" s="4"/>
      <c r="X613" s="4"/>
      <c r="Y613" s="4"/>
      <c r="AA613" s="4"/>
      <c r="AB613" s="4"/>
      <c r="AC613" s="4"/>
      <c r="AD613" s="95"/>
    </row>
    <row r="614" spans="14:30">
      <c r="N614" s="7"/>
      <c r="P614" s="86"/>
      <c r="Q614" s="4"/>
      <c r="R614" s="4"/>
      <c r="S614" s="4"/>
      <c r="T614" s="4"/>
      <c r="U614" s="4"/>
      <c r="V614" s="4"/>
      <c r="X614" s="4"/>
      <c r="Y614" s="4"/>
      <c r="AA614" s="4"/>
      <c r="AB614" s="4"/>
      <c r="AC614" s="4"/>
      <c r="AD614" s="95"/>
    </row>
    <row r="615" spans="14:30">
      <c r="N615" s="7"/>
      <c r="P615" s="86"/>
      <c r="Q615" s="4"/>
      <c r="R615" s="4"/>
      <c r="S615" s="4"/>
      <c r="T615" s="4"/>
      <c r="U615" s="4"/>
      <c r="V615" s="4"/>
      <c r="X615" s="4"/>
      <c r="Y615" s="4"/>
      <c r="AA615" s="4"/>
      <c r="AB615" s="4"/>
      <c r="AC615" s="4"/>
      <c r="AD615" s="95"/>
    </row>
    <row r="616" spans="14:30">
      <c r="N616" s="7"/>
      <c r="P616" s="86"/>
      <c r="Q616" s="4"/>
      <c r="R616" s="4"/>
      <c r="S616" s="4"/>
      <c r="T616" s="4"/>
      <c r="U616" s="4"/>
      <c r="V616" s="4"/>
      <c r="X616" s="4"/>
      <c r="Y616" s="4"/>
      <c r="AA616" s="4"/>
      <c r="AB616" s="4"/>
      <c r="AC616" s="4"/>
      <c r="AD616" s="95"/>
    </row>
    <row r="617" spans="14:30">
      <c r="N617" s="7"/>
      <c r="P617" s="86"/>
      <c r="Q617" s="4"/>
      <c r="R617" s="4"/>
      <c r="S617" s="4"/>
      <c r="T617" s="4"/>
      <c r="U617" s="4"/>
      <c r="V617" s="4"/>
      <c r="X617" s="4"/>
      <c r="Y617" s="4"/>
      <c r="AA617" s="4"/>
      <c r="AB617" s="4"/>
      <c r="AC617" s="4"/>
      <c r="AD617" s="95"/>
    </row>
    <row r="618" spans="14:30">
      <c r="N618" s="7"/>
      <c r="P618" s="86"/>
      <c r="Q618" s="4"/>
      <c r="R618" s="4"/>
      <c r="S618" s="4"/>
      <c r="T618" s="4"/>
      <c r="U618" s="4"/>
      <c r="V618" s="4"/>
      <c r="X618" s="4"/>
      <c r="Y618" s="4"/>
      <c r="AA618" s="4"/>
      <c r="AB618" s="4"/>
      <c r="AC618" s="4"/>
      <c r="AD618" s="95"/>
    </row>
    <row r="619" spans="14:30">
      <c r="N619" s="7"/>
      <c r="P619" s="86"/>
      <c r="Q619" s="4"/>
      <c r="R619" s="4"/>
      <c r="S619" s="4"/>
      <c r="T619" s="4"/>
      <c r="U619" s="4"/>
      <c r="V619" s="4"/>
      <c r="X619" s="4"/>
      <c r="Y619" s="4"/>
      <c r="AA619" s="4"/>
      <c r="AB619" s="4"/>
      <c r="AC619" s="4"/>
      <c r="AD619" s="95"/>
    </row>
    <row r="620" spans="14:30">
      <c r="N620" s="7"/>
      <c r="P620" s="86"/>
      <c r="Q620" s="4"/>
      <c r="R620" s="4"/>
      <c r="S620" s="4"/>
      <c r="T620" s="4"/>
      <c r="U620" s="4"/>
      <c r="V620" s="4"/>
      <c r="X620" s="4"/>
      <c r="Y620" s="4"/>
      <c r="AA620" s="4"/>
      <c r="AB620" s="4"/>
      <c r="AC620" s="4"/>
      <c r="AD620" s="95"/>
    </row>
    <row r="621" spans="14:30">
      <c r="N621" s="7"/>
      <c r="P621" s="86"/>
      <c r="Q621" s="4"/>
      <c r="R621" s="4"/>
      <c r="S621" s="4"/>
      <c r="T621" s="4"/>
      <c r="U621" s="4"/>
      <c r="V621" s="4"/>
      <c r="X621" s="4"/>
      <c r="Y621" s="4"/>
      <c r="AA621" s="4"/>
      <c r="AB621" s="4"/>
      <c r="AC621" s="4"/>
      <c r="AD621" s="95"/>
    </row>
    <row r="622" spans="14:30">
      <c r="N622" s="7"/>
      <c r="P622" s="86"/>
      <c r="Q622" s="4"/>
      <c r="R622" s="4"/>
      <c r="S622" s="4"/>
      <c r="T622" s="4"/>
      <c r="U622" s="4"/>
      <c r="V622" s="4"/>
      <c r="X622" s="4"/>
      <c r="Y622" s="4"/>
      <c r="AA622" s="4"/>
      <c r="AB622" s="4"/>
      <c r="AC622" s="4"/>
      <c r="AD622" s="95"/>
    </row>
    <row r="623" spans="14:30">
      <c r="N623" s="7"/>
      <c r="P623" s="86"/>
      <c r="Q623" s="4"/>
      <c r="R623" s="4"/>
      <c r="S623" s="4"/>
      <c r="T623" s="4"/>
      <c r="U623" s="4"/>
      <c r="V623" s="4"/>
      <c r="X623" s="4"/>
      <c r="Y623" s="4"/>
      <c r="AA623" s="4"/>
      <c r="AB623" s="4"/>
      <c r="AC623" s="4"/>
      <c r="AD623" s="95"/>
    </row>
    <row r="624" spans="14:30">
      <c r="N624" s="7"/>
      <c r="P624" s="86"/>
      <c r="Q624" s="4"/>
      <c r="R624" s="4"/>
      <c r="S624" s="4"/>
      <c r="T624" s="4"/>
      <c r="U624" s="4"/>
      <c r="V624" s="4"/>
      <c r="X624" s="4"/>
      <c r="Y624" s="4"/>
      <c r="AA624" s="4"/>
      <c r="AB624" s="4"/>
      <c r="AC624" s="4"/>
      <c r="AD624" s="95"/>
    </row>
    <row r="625" spans="14:30">
      <c r="N625" s="7"/>
      <c r="P625" s="86"/>
      <c r="Q625" s="4"/>
      <c r="R625" s="4"/>
      <c r="S625" s="4"/>
      <c r="T625" s="4"/>
      <c r="U625" s="4"/>
      <c r="V625" s="4"/>
      <c r="X625" s="4"/>
      <c r="Y625" s="4"/>
      <c r="AA625" s="4"/>
      <c r="AB625" s="4"/>
      <c r="AC625" s="4"/>
      <c r="AD625" s="95"/>
    </row>
    <row r="626" spans="14:30">
      <c r="N626" s="7"/>
      <c r="P626" s="86"/>
      <c r="Q626" s="4"/>
      <c r="R626" s="4"/>
      <c r="S626" s="4"/>
      <c r="T626" s="4"/>
      <c r="U626" s="4"/>
      <c r="V626" s="4"/>
      <c r="X626" s="4"/>
      <c r="Y626" s="4"/>
      <c r="AA626" s="4"/>
      <c r="AB626" s="4"/>
      <c r="AC626" s="4"/>
      <c r="AD626" s="95"/>
    </row>
    <row r="627" spans="14:30">
      <c r="N627" s="7"/>
      <c r="P627" s="86"/>
      <c r="Q627" s="4"/>
      <c r="R627" s="4"/>
      <c r="S627" s="4"/>
      <c r="T627" s="4"/>
      <c r="U627" s="4"/>
      <c r="V627" s="4"/>
      <c r="X627" s="4"/>
      <c r="Y627" s="4"/>
      <c r="AA627" s="4"/>
      <c r="AB627" s="4"/>
      <c r="AC627" s="4"/>
      <c r="AD627" s="95"/>
    </row>
    <row r="628" spans="14:30">
      <c r="N628" s="7"/>
      <c r="P628" s="86"/>
      <c r="Q628" s="4"/>
      <c r="R628" s="4"/>
      <c r="S628" s="4"/>
      <c r="T628" s="4"/>
      <c r="U628" s="4"/>
      <c r="V628" s="4"/>
      <c r="X628" s="4"/>
      <c r="Y628" s="4"/>
      <c r="AA628" s="4"/>
      <c r="AB628" s="4"/>
      <c r="AC628" s="4"/>
      <c r="AD628" s="95"/>
    </row>
    <row r="629" spans="14:30">
      <c r="N629" s="7"/>
      <c r="P629" s="86"/>
      <c r="Q629" s="4"/>
      <c r="R629" s="4"/>
      <c r="S629" s="4"/>
      <c r="T629" s="4"/>
      <c r="U629" s="4"/>
      <c r="V629" s="4"/>
      <c r="X629" s="4"/>
      <c r="Y629" s="4"/>
      <c r="AA629" s="4"/>
      <c r="AB629" s="4"/>
      <c r="AC629" s="4"/>
      <c r="AD629" s="95"/>
    </row>
    <row r="630" spans="14:30">
      <c r="N630" s="7"/>
      <c r="P630" s="86"/>
      <c r="Q630" s="4"/>
      <c r="R630" s="4"/>
      <c r="S630" s="4"/>
      <c r="T630" s="4"/>
      <c r="U630" s="4"/>
      <c r="V630" s="4"/>
      <c r="X630" s="4"/>
      <c r="Y630" s="4"/>
      <c r="AA630" s="4"/>
      <c r="AB630" s="4"/>
      <c r="AC630" s="4"/>
      <c r="AD630" s="95"/>
    </row>
    <row r="631" spans="14:30">
      <c r="N631" s="7"/>
      <c r="P631" s="86"/>
      <c r="Q631" s="4"/>
      <c r="R631" s="4"/>
      <c r="S631" s="4"/>
      <c r="T631" s="4"/>
      <c r="U631" s="4"/>
      <c r="V631" s="4"/>
      <c r="X631" s="4"/>
      <c r="Y631" s="4"/>
      <c r="AA631" s="4"/>
      <c r="AB631" s="4"/>
      <c r="AC631" s="4"/>
      <c r="AD631" s="95"/>
    </row>
    <row r="632" spans="14:30">
      <c r="N632" s="7"/>
      <c r="P632" s="86"/>
      <c r="Q632" s="4"/>
      <c r="R632" s="4"/>
      <c r="S632" s="4"/>
      <c r="T632" s="4"/>
      <c r="U632" s="4"/>
      <c r="V632" s="4"/>
      <c r="X632" s="4"/>
      <c r="Y632" s="4"/>
      <c r="AA632" s="4"/>
      <c r="AB632" s="4"/>
      <c r="AC632" s="4"/>
      <c r="AD632" s="95"/>
    </row>
    <row r="633" spans="14:30">
      <c r="N633" s="7"/>
      <c r="P633" s="86"/>
      <c r="Q633" s="4"/>
      <c r="R633" s="4"/>
      <c r="S633" s="4"/>
      <c r="T633" s="4"/>
      <c r="U633" s="4"/>
      <c r="V633" s="4"/>
      <c r="X633" s="4"/>
      <c r="Y633" s="4"/>
      <c r="AA633" s="4"/>
      <c r="AB633" s="4"/>
      <c r="AC633" s="4"/>
      <c r="AD633" s="95"/>
    </row>
    <row r="634" spans="14:30">
      <c r="N634" s="7"/>
      <c r="P634" s="86"/>
      <c r="Q634" s="4"/>
      <c r="R634" s="4"/>
      <c r="S634" s="4"/>
      <c r="T634" s="4"/>
      <c r="U634" s="4"/>
      <c r="V634" s="4"/>
      <c r="X634" s="4"/>
      <c r="Y634" s="4"/>
      <c r="AA634" s="4"/>
      <c r="AB634" s="4"/>
      <c r="AC634" s="4"/>
      <c r="AD634" s="95"/>
    </row>
    <row r="635" spans="14:30">
      <c r="N635" s="7"/>
      <c r="P635" s="86"/>
      <c r="Q635" s="4"/>
      <c r="R635" s="4"/>
      <c r="S635" s="4"/>
      <c r="T635" s="4"/>
      <c r="U635" s="4"/>
      <c r="V635" s="4"/>
      <c r="X635" s="4"/>
      <c r="Y635" s="4"/>
      <c r="AA635" s="4"/>
      <c r="AB635" s="4"/>
      <c r="AC635" s="4"/>
      <c r="AD635" s="95"/>
    </row>
    <row r="636" spans="14:30">
      <c r="N636" s="7"/>
      <c r="P636" s="86"/>
      <c r="Q636" s="4"/>
      <c r="R636" s="4"/>
      <c r="S636" s="4"/>
      <c r="T636" s="4"/>
      <c r="U636" s="4"/>
      <c r="V636" s="4"/>
      <c r="X636" s="4"/>
      <c r="Y636" s="4"/>
      <c r="AA636" s="4"/>
      <c r="AB636" s="4"/>
      <c r="AC636" s="4"/>
      <c r="AD636" s="95"/>
    </row>
    <row r="637" spans="14:30">
      <c r="N637" s="7"/>
      <c r="P637" s="86"/>
      <c r="Q637" s="4"/>
      <c r="R637" s="4"/>
      <c r="S637" s="4"/>
      <c r="T637" s="4"/>
      <c r="U637" s="4"/>
      <c r="V637" s="4"/>
      <c r="X637" s="4"/>
      <c r="Y637" s="4"/>
      <c r="AA637" s="4"/>
      <c r="AB637" s="4"/>
      <c r="AC637" s="4"/>
      <c r="AD637" s="95"/>
    </row>
    <row r="638" spans="14:30">
      <c r="N638" s="7"/>
      <c r="P638" s="86"/>
      <c r="Q638" s="4"/>
      <c r="R638" s="4"/>
      <c r="S638" s="4"/>
      <c r="T638" s="4"/>
      <c r="U638" s="4"/>
      <c r="V638" s="4"/>
      <c r="X638" s="4"/>
      <c r="Y638" s="4"/>
      <c r="AA638" s="4"/>
      <c r="AB638" s="4"/>
      <c r="AC638" s="4"/>
      <c r="AD638" s="95"/>
    </row>
    <row r="639" spans="14:30">
      <c r="N639" s="7"/>
      <c r="P639" s="86"/>
      <c r="Q639" s="4"/>
      <c r="R639" s="4"/>
      <c r="S639" s="4"/>
      <c r="T639" s="4"/>
      <c r="U639" s="4"/>
      <c r="V639" s="4"/>
      <c r="X639" s="4"/>
      <c r="Y639" s="4"/>
      <c r="AA639" s="4"/>
      <c r="AB639" s="4"/>
      <c r="AC639" s="4"/>
      <c r="AD639" s="95"/>
    </row>
    <row r="640" spans="14:30">
      <c r="N640" s="7"/>
      <c r="P640" s="86"/>
      <c r="Q640" s="4"/>
      <c r="R640" s="4"/>
      <c r="S640" s="4"/>
      <c r="T640" s="4"/>
      <c r="U640" s="4"/>
      <c r="V640" s="4"/>
      <c r="X640" s="4"/>
      <c r="Y640" s="4"/>
      <c r="AA640" s="4"/>
      <c r="AB640" s="4"/>
      <c r="AC640" s="4"/>
      <c r="AD640" s="95"/>
    </row>
    <row r="641" spans="14:30">
      <c r="N641" s="7"/>
      <c r="P641" s="86"/>
      <c r="Q641" s="4"/>
      <c r="R641" s="4"/>
      <c r="S641" s="4"/>
      <c r="T641" s="4"/>
      <c r="U641" s="4"/>
      <c r="V641" s="4"/>
      <c r="X641" s="4"/>
      <c r="Y641" s="4"/>
      <c r="AA641" s="4"/>
      <c r="AB641" s="4"/>
      <c r="AC641" s="4"/>
      <c r="AD641" s="95"/>
    </row>
    <row r="642" spans="14:30">
      <c r="N642" s="7"/>
      <c r="P642" s="86"/>
      <c r="Q642" s="4"/>
      <c r="R642" s="4"/>
      <c r="S642" s="4"/>
      <c r="T642" s="4"/>
      <c r="U642" s="4"/>
      <c r="V642" s="4"/>
      <c r="X642" s="4"/>
      <c r="Y642" s="4"/>
      <c r="AA642" s="4"/>
      <c r="AB642" s="4"/>
      <c r="AC642" s="4"/>
      <c r="AD642" s="95"/>
    </row>
    <row r="643" spans="14:30">
      <c r="N643" s="7"/>
      <c r="P643" s="86"/>
      <c r="Q643" s="4"/>
      <c r="R643" s="4"/>
      <c r="S643" s="4"/>
      <c r="T643" s="4"/>
      <c r="U643" s="4"/>
      <c r="V643" s="4"/>
      <c r="X643" s="4"/>
      <c r="Y643" s="4"/>
      <c r="AA643" s="4"/>
      <c r="AB643" s="4"/>
      <c r="AC643" s="4"/>
      <c r="AD643" s="95"/>
    </row>
    <row r="644" spans="14:30">
      <c r="N644" s="7"/>
      <c r="P644" s="86"/>
      <c r="Q644" s="4"/>
      <c r="R644" s="4"/>
      <c r="S644" s="4"/>
      <c r="T644" s="4"/>
      <c r="U644" s="4"/>
      <c r="V644" s="4"/>
      <c r="X644" s="4"/>
      <c r="Y644" s="4"/>
      <c r="AA644" s="4"/>
      <c r="AB644" s="4"/>
      <c r="AC644" s="4"/>
      <c r="AD644" s="95"/>
    </row>
    <row r="645" spans="14:30">
      <c r="N645" s="7"/>
      <c r="P645" s="86"/>
      <c r="Q645" s="4"/>
      <c r="R645" s="4"/>
      <c r="S645" s="4"/>
      <c r="T645" s="4"/>
      <c r="U645" s="4"/>
      <c r="V645" s="4"/>
      <c r="X645" s="4"/>
      <c r="Y645" s="4"/>
      <c r="AA645" s="4"/>
      <c r="AB645" s="4"/>
      <c r="AC645" s="4"/>
      <c r="AD645" s="95"/>
    </row>
    <row r="646" spans="14:30">
      <c r="N646" s="7"/>
      <c r="P646" s="86"/>
      <c r="Q646" s="4"/>
      <c r="R646" s="4"/>
      <c r="S646" s="4"/>
      <c r="T646" s="4"/>
      <c r="U646" s="4"/>
      <c r="V646" s="4"/>
      <c r="X646" s="4"/>
      <c r="Y646" s="4"/>
      <c r="AA646" s="4"/>
      <c r="AB646" s="4"/>
      <c r="AC646" s="4"/>
      <c r="AD646" s="95"/>
    </row>
    <row r="647" spans="14:30">
      <c r="N647" s="7"/>
      <c r="P647" s="86"/>
      <c r="Q647" s="4"/>
      <c r="R647" s="4"/>
      <c r="S647" s="4"/>
      <c r="T647" s="4"/>
      <c r="U647" s="4"/>
      <c r="V647" s="4"/>
      <c r="X647" s="4"/>
      <c r="Y647" s="4"/>
      <c r="AA647" s="4"/>
      <c r="AB647" s="4"/>
      <c r="AC647" s="4"/>
      <c r="AD647" s="95"/>
    </row>
    <row r="648" spans="14:30">
      <c r="N648" s="7"/>
      <c r="P648" s="86"/>
      <c r="Q648" s="4"/>
      <c r="R648" s="4"/>
      <c r="S648" s="4"/>
      <c r="T648" s="4"/>
      <c r="U648" s="4"/>
      <c r="V648" s="4"/>
      <c r="X648" s="4"/>
      <c r="Y648" s="4"/>
      <c r="AA648" s="4"/>
      <c r="AB648" s="4"/>
      <c r="AC648" s="4"/>
      <c r="AD648" s="95"/>
    </row>
    <row r="649" spans="14:30">
      <c r="N649" s="7"/>
      <c r="P649" s="86"/>
      <c r="Q649" s="4"/>
      <c r="R649" s="4"/>
      <c r="S649" s="4"/>
      <c r="T649" s="4"/>
      <c r="U649" s="4"/>
      <c r="V649" s="4"/>
      <c r="X649" s="4"/>
      <c r="Y649" s="4"/>
      <c r="AA649" s="4"/>
      <c r="AB649" s="4"/>
      <c r="AC649" s="4"/>
      <c r="AD649" s="95"/>
    </row>
    <row r="650" spans="14:30">
      <c r="N650" s="7"/>
      <c r="P650" s="86"/>
      <c r="Q650" s="4"/>
      <c r="R650" s="4"/>
      <c r="S650" s="4"/>
      <c r="T650" s="4"/>
      <c r="U650" s="4"/>
      <c r="V650" s="4"/>
      <c r="X650" s="4"/>
      <c r="Y650" s="4"/>
      <c r="AA650" s="4"/>
      <c r="AB650" s="4"/>
      <c r="AC650" s="4"/>
      <c r="AD650" s="95"/>
    </row>
    <row r="651" spans="14:30">
      <c r="N651" s="7"/>
      <c r="P651" s="86"/>
      <c r="Q651" s="4"/>
      <c r="R651" s="4"/>
      <c r="S651" s="4"/>
      <c r="T651" s="4"/>
      <c r="U651" s="4"/>
      <c r="V651" s="4"/>
      <c r="X651" s="4"/>
      <c r="Y651" s="4"/>
      <c r="AA651" s="4"/>
      <c r="AB651" s="4"/>
      <c r="AC651" s="4"/>
      <c r="AD651" s="95"/>
    </row>
    <row r="652" spans="14:30">
      <c r="N652" s="7"/>
      <c r="P652" s="86"/>
      <c r="Q652" s="4"/>
      <c r="R652" s="4"/>
      <c r="S652" s="4"/>
      <c r="T652" s="4"/>
      <c r="U652" s="4"/>
      <c r="V652" s="4"/>
      <c r="X652" s="4"/>
      <c r="Y652" s="4"/>
      <c r="AA652" s="4"/>
      <c r="AB652" s="4"/>
      <c r="AC652" s="4"/>
      <c r="AD652" s="95"/>
    </row>
    <row r="653" spans="14:30">
      <c r="N653" s="7"/>
      <c r="P653" s="86"/>
      <c r="Q653" s="4"/>
      <c r="R653" s="4"/>
      <c r="S653" s="4"/>
      <c r="T653" s="4"/>
      <c r="U653" s="4"/>
      <c r="V653" s="4"/>
      <c r="X653" s="4"/>
      <c r="Y653" s="4"/>
      <c r="AA653" s="4"/>
      <c r="AB653" s="4"/>
      <c r="AC653" s="4"/>
      <c r="AD653" s="95"/>
    </row>
    <row r="654" spans="14:30">
      <c r="N654" s="7"/>
      <c r="P654" s="86"/>
      <c r="Q654" s="4"/>
      <c r="R654" s="4"/>
      <c r="S654" s="4"/>
      <c r="T654" s="4"/>
      <c r="U654" s="4"/>
      <c r="V654" s="4"/>
      <c r="X654" s="4"/>
      <c r="Y654" s="4"/>
      <c r="AA654" s="4"/>
      <c r="AB654" s="4"/>
      <c r="AC654" s="4"/>
      <c r="AD654" s="95"/>
    </row>
    <row r="655" spans="14:30">
      <c r="N655" s="7"/>
      <c r="P655" s="86"/>
      <c r="Q655" s="4"/>
      <c r="R655" s="4"/>
      <c r="S655" s="4"/>
      <c r="T655" s="4"/>
      <c r="U655" s="4"/>
      <c r="V655" s="4"/>
      <c r="X655" s="4"/>
      <c r="Y655" s="4"/>
      <c r="AA655" s="4"/>
      <c r="AB655" s="4"/>
      <c r="AC655" s="4"/>
      <c r="AD655" s="95"/>
    </row>
    <row r="656" spans="14:30">
      <c r="N656" s="7"/>
      <c r="P656" s="86"/>
      <c r="Q656" s="4"/>
      <c r="R656" s="4"/>
      <c r="S656" s="4"/>
      <c r="T656" s="4"/>
      <c r="U656" s="4"/>
      <c r="V656" s="4"/>
      <c r="X656" s="4"/>
      <c r="Y656" s="4"/>
      <c r="AA656" s="4"/>
      <c r="AB656" s="4"/>
      <c r="AC656" s="4"/>
      <c r="AD656" s="95"/>
    </row>
    <row r="657" spans="14:30">
      <c r="N657" s="7"/>
      <c r="P657" s="86"/>
      <c r="Q657" s="4"/>
      <c r="R657" s="4"/>
      <c r="S657" s="4"/>
      <c r="T657" s="4"/>
      <c r="U657" s="4"/>
      <c r="V657" s="4"/>
      <c r="X657" s="4"/>
      <c r="Y657" s="4"/>
      <c r="AA657" s="4"/>
      <c r="AB657" s="4"/>
      <c r="AC657" s="4"/>
      <c r="AD657" s="95"/>
    </row>
    <row r="658" spans="14:30">
      <c r="N658" s="7"/>
      <c r="P658" s="86"/>
      <c r="Q658" s="4"/>
      <c r="R658" s="4"/>
      <c r="S658" s="4"/>
      <c r="T658" s="4"/>
      <c r="U658" s="4"/>
      <c r="V658" s="4"/>
      <c r="X658" s="4"/>
      <c r="Y658" s="4"/>
      <c r="AA658" s="4"/>
      <c r="AB658" s="4"/>
      <c r="AC658" s="4"/>
      <c r="AD658" s="95"/>
    </row>
    <row r="659" spans="14:30">
      <c r="N659" s="7"/>
      <c r="P659" s="86"/>
      <c r="Q659" s="4"/>
      <c r="R659" s="4"/>
      <c r="S659" s="4"/>
      <c r="T659" s="4"/>
      <c r="U659" s="4"/>
      <c r="V659" s="4"/>
      <c r="X659" s="4"/>
      <c r="Y659" s="4"/>
      <c r="AA659" s="4"/>
      <c r="AB659" s="4"/>
      <c r="AC659" s="4"/>
      <c r="AD659" s="95"/>
    </row>
    <row r="660" spans="14:30">
      <c r="N660" s="7"/>
      <c r="P660" s="86"/>
      <c r="Q660" s="4"/>
      <c r="R660" s="4"/>
      <c r="S660" s="4"/>
      <c r="T660" s="4"/>
      <c r="U660" s="4"/>
      <c r="V660" s="4"/>
      <c r="X660" s="4"/>
      <c r="Y660" s="4"/>
      <c r="AA660" s="4"/>
      <c r="AB660" s="4"/>
      <c r="AC660" s="4"/>
      <c r="AD660" s="95"/>
    </row>
    <row r="661" spans="14:30">
      <c r="N661" s="7"/>
      <c r="P661" s="86"/>
      <c r="Q661" s="4"/>
      <c r="R661" s="4"/>
      <c r="S661" s="4"/>
      <c r="T661" s="4"/>
      <c r="U661" s="4"/>
      <c r="V661" s="4"/>
      <c r="X661" s="4"/>
      <c r="Y661" s="4"/>
      <c r="AA661" s="4"/>
      <c r="AB661" s="4"/>
      <c r="AC661" s="4"/>
      <c r="AD661" s="95"/>
    </row>
    <row r="662" spans="14:30">
      <c r="N662" s="7"/>
      <c r="P662" s="86"/>
      <c r="Q662" s="4"/>
      <c r="R662" s="4"/>
      <c r="S662" s="4"/>
      <c r="T662" s="4"/>
      <c r="U662" s="4"/>
      <c r="V662" s="4"/>
      <c r="X662" s="4"/>
      <c r="Y662" s="4"/>
      <c r="AA662" s="4"/>
      <c r="AB662" s="4"/>
      <c r="AC662" s="4"/>
      <c r="AD662" s="95"/>
    </row>
    <row r="663" spans="14:30">
      <c r="N663" s="7"/>
      <c r="P663" s="86"/>
      <c r="Q663" s="4"/>
      <c r="R663" s="4"/>
      <c r="S663" s="4"/>
      <c r="T663" s="4"/>
      <c r="U663" s="4"/>
      <c r="V663" s="4"/>
      <c r="X663" s="4"/>
      <c r="Y663" s="4"/>
      <c r="AA663" s="4"/>
      <c r="AB663" s="4"/>
      <c r="AC663" s="4"/>
      <c r="AD663" s="95"/>
    </row>
    <row r="664" spans="14:30">
      <c r="N664" s="7"/>
      <c r="P664" s="86"/>
      <c r="Q664" s="4"/>
      <c r="R664" s="4"/>
      <c r="S664" s="4"/>
      <c r="T664" s="4"/>
      <c r="U664" s="4"/>
      <c r="V664" s="4"/>
      <c r="X664" s="4"/>
      <c r="Y664" s="4"/>
      <c r="AA664" s="4"/>
      <c r="AB664" s="4"/>
      <c r="AC664" s="4"/>
      <c r="AD664" s="95"/>
    </row>
    <row r="665" spans="14:30">
      <c r="N665" s="7"/>
      <c r="P665" s="86"/>
      <c r="Q665" s="4"/>
      <c r="R665" s="4"/>
      <c r="S665" s="4"/>
      <c r="T665" s="4"/>
      <c r="U665" s="4"/>
      <c r="V665" s="4"/>
      <c r="X665" s="4"/>
      <c r="Y665" s="4"/>
      <c r="AA665" s="4"/>
      <c r="AB665" s="4"/>
      <c r="AC665" s="4"/>
      <c r="AD665" s="95"/>
    </row>
    <row r="666" spans="14:30">
      <c r="N666" s="7"/>
      <c r="P666" s="86"/>
      <c r="Q666" s="4"/>
      <c r="R666" s="4"/>
      <c r="S666" s="4"/>
      <c r="T666" s="4"/>
      <c r="U666" s="4"/>
      <c r="V666" s="4"/>
      <c r="X666" s="4"/>
      <c r="Y666" s="4"/>
      <c r="AA666" s="4"/>
      <c r="AB666" s="4"/>
      <c r="AC666" s="4"/>
      <c r="AD666" s="95"/>
    </row>
    <row r="667" spans="14:30">
      <c r="N667" s="7"/>
      <c r="P667" s="86"/>
      <c r="Q667" s="4"/>
      <c r="R667" s="4"/>
      <c r="S667" s="4"/>
      <c r="T667" s="4"/>
      <c r="U667" s="4"/>
      <c r="V667" s="4"/>
      <c r="X667" s="4"/>
      <c r="Y667" s="4"/>
      <c r="AA667" s="4"/>
      <c r="AB667" s="4"/>
      <c r="AC667" s="4"/>
      <c r="AD667" s="95"/>
    </row>
    <row r="668" spans="14:30">
      <c r="N668" s="7"/>
      <c r="P668" s="86"/>
      <c r="Q668" s="4"/>
      <c r="R668" s="4"/>
      <c r="S668" s="4"/>
      <c r="T668" s="4"/>
      <c r="U668" s="4"/>
      <c r="V668" s="4"/>
      <c r="X668" s="4"/>
      <c r="Y668" s="4"/>
      <c r="AA668" s="4"/>
      <c r="AB668" s="4"/>
      <c r="AC668" s="4"/>
      <c r="AD668" s="95"/>
    </row>
    <row r="669" spans="14:30">
      <c r="N669" s="7"/>
      <c r="P669" s="86"/>
      <c r="Q669" s="4"/>
      <c r="R669" s="4"/>
      <c r="S669" s="4"/>
      <c r="T669" s="4"/>
      <c r="U669" s="4"/>
      <c r="V669" s="4"/>
      <c r="X669" s="4"/>
      <c r="Y669" s="4"/>
      <c r="AA669" s="4"/>
      <c r="AB669" s="4"/>
      <c r="AC669" s="4"/>
      <c r="AD669" s="95"/>
    </row>
    <row r="670" spans="14:30">
      <c r="N670" s="7"/>
      <c r="P670" s="86"/>
      <c r="Q670" s="4"/>
      <c r="R670" s="4"/>
      <c r="S670" s="4"/>
      <c r="T670" s="4"/>
      <c r="U670" s="4"/>
      <c r="V670" s="4"/>
      <c r="X670" s="4"/>
      <c r="Y670" s="4"/>
      <c r="AA670" s="4"/>
      <c r="AB670" s="4"/>
      <c r="AC670" s="4"/>
      <c r="AD670" s="95"/>
    </row>
    <row r="671" spans="14:30">
      <c r="N671" s="7"/>
      <c r="P671" s="86"/>
      <c r="Q671" s="4"/>
      <c r="R671" s="4"/>
      <c r="S671" s="4"/>
      <c r="T671" s="4"/>
      <c r="U671" s="4"/>
      <c r="V671" s="4"/>
      <c r="X671" s="4"/>
      <c r="Y671" s="4"/>
      <c r="AA671" s="4"/>
      <c r="AB671" s="4"/>
      <c r="AC671" s="4"/>
      <c r="AD671" s="95"/>
    </row>
    <row r="672" spans="14:30">
      <c r="N672" s="7"/>
      <c r="P672" s="86"/>
      <c r="Q672" s="4"/>
      <c r="R672" s="4"/>
      <c r="S672" s="4"/>
      <c r="T672" s="4"/>
      <c r="U672" s="4"/>
      <c r="V672" s="4"/>
      <c r="X672" s="4"/>
      <c r="Y672" s="4"/>
      <c r="AA672" s="4"/>
      <c r="AB672" s="4"/>
      <c r="AC672" s="4"/>
      <c r="AD672" s="95"/>
    </row>
    <row r="673" spans="14:30">
      <c r="N673" s="7"/>
      <c r="P673" s="86"/>
      <c r="Q673" s="4"/>
      <c r="R673" s="4"/>
      <c r="S673" s="4"/>
      <c r="T673" s="4"/>
      <c r="U673" s="4"/>
      <c r="V673" s="4"/>
      <c r="X673" s="4"/>
      <c r="Y673" s="4"/>
      <c r="AA673" s="4"/>
      <c r="AB673" s="4"/>
      <c r="AC673" s="4"/>
      <c r="AD673" s="95"/>
    </row>
    <row r="674" spans="14:30">
      <c r="N674" s="7"/>
      <c r="P674" s="86"/>
      <c r="Q674" s="4"/>
      <c r="R674" s="4"/>
      <c r="S674" s="4"/>
      <c r="T674" s="4"/>
      <c r="U674" s="4"/>
      <c r="V674" s="4"/>
      <c r="X674" s="4"/>
      <c r="Y674" s="4"/>
      <c r="AA674" s="4"/>
      <c r="AB674" s="4"/>
      <c r="AC674" s="4"/>
      <c r="AD674" s="95"/>
    </row>
    <row r="675" spans="14:30">
      <c r="N675" s="7"/>
      <c r="P675" s="86"/>
      <c r="Q675" s="4"/>
      <c r="R675" s="4"/>
      <c r="S675" s="4"/>
      <c r="T675" s="4"/>
      <c r="U675" s="4"/>
      <c r="V675" s="4"/>
      <c r="X675" s="4"/>
      <c r="Y675" s="4"/>
      <c r="AA675" s="4"/>
      <c r="AB675" s="4"/>
      <c r="AC675" s="4"/>
      <c r="AD675" s="95"/>
    </row>
    <row r="676" spans="14:30">
      <c r="N676" s="7"/>
      <c r="P676" s="86"/>
      <c r="Q676" s="4"/>
      <c r="R676" s="4"/>
      <c r="S676" s="4"/>
      <c r="T676" s="4"/>
      <c r="U676" s="4"/>
      <c r="V676" s="4"/>
      <c r="X676" s="4"/>
      <c r="Y676" s="4"/>
      <c r="AA676" s="4"/>
      <c r="AB676" s="4"/>
      <c r="AC676" s="4"/>
      <c r="AD676" s="95"/>
    </row>
    <row r="677" spans="14:30">
      <c r="N677" s="7"/>
      <c r="P677" s="86"/>
      <c r="Q677" s="4"/>
      <c r="R677" s="4"/>
      <c r="S677" s="4"/>
      <c r="T677" s="4"/>
      <c r="U677" s="4"/>
      <c r="V677" s="4"/>
      <c r="X677" s="4"/>
      <c r="Y677" s="4"/>
      <c r="AA677" s="4"/>
      <c r="AB677" s="4"/>
      <c r="AC677" s="4"/>
      <c r="AD677" s="95"/>
    </row>
    <row r="678" spans="14:30">
      <c r="N678" s="7"/>
      <c r="P678" s="86"/>
      <c r="Q678" s="4"/>
      <c r="R678" s="4"/>
      <c r="S678" s="4"/>
      <c r="T678" s="4"/>
      <c r="U678" s="4"/>
      <c r="V678" s="4"/>
      <c r="X678" s="4"/>
      <c r="Y678" s="4"/>
      <c r="AA678" s="4"/>
      <c r="AB678" s="4"/>
      <c r="AC678" s="4"/>
      <c r="AD678" s="95"/>
    </row>
    <row r="679" spans="14:30">
      <c r="N679" s="7"/>
      <c r="P679" s="86"/>
      <c r="Q679" s="4"/>
      <c r="R679" s="4"/>
      <c r="S679" s="4"/>
      <c r="T679" s="4"/>
      <c r="U679" s="4"/>
      <c r="V679" s="4"/>
      <c r="X679" s="4"/>
      <c r="Y679" s="4"/>
      <c r="AA679" s="4"/>
      <c r="AB679" s="4"/>
      <c r="AC679" s="4"/>
      <c r="AD679" s="95"/>
    </row>
    <row r="680" spans="14:30">
      <c r="N680" s="7"/>
      <c r="P680" s="86"/>
      <c r="Q680" s="4"/>
      <c r="R680" s="4"/>
      <c r="S680" s="4"/>
      <c r="T680" s="4"/>
      <c r="U680" s="4"/>
      <c r="V680" s="4"/>
      <c r="X680" s="4"/>
      <c r="Y680" s="4"/>
      <c r="AA680" s="4"/>
      <c r="AB680" s="4"/>
      <c r="AC680" s="4"/>
      <c r="AD680" s="95"/>
    </row>
    <row r="681" spans="14:30">
      <c r="N681" s="7"/>
      <c r="P681" s="86"/>
      <c r="Q681" s="4"/>
      <c r="R681" s="4"/>
      <c r="S681" s="4"/>
      <c r="T681" s="4"/>
      <c r="U681" s="4"/>
      <c r="V681" s="4"/>
      <c r="X681" s="4"/>
      <c r="Y681" s="4"/>
      <c r="AA681" s="4"/>
      <c r="AB681" s="4"/>
      <c r="AC681" s="4"/>
      <c r="AD681" s="95"/>
    </row>
    <row r="682" spans="14:30">
      <c r="N682" s="7"/>
      <c r="P682" s="86"/>
      <c r="Q682" s="4"/>
      <c r="R682" s="4"/>
      <c r="S682" s="4"/>
      <c r="T682" s="4"/>
      <c r="U682" s="4"/>
      <c r="V682" s="4"/>
      <c r="X682" s="4"/>
      <c r="Y682" s="4"/>
      <c r="AA682" s="4"/>
      <c r="AB682" s="4"/>
      <c r="AC682" s="4"/>
      <c r="AD682" s="95"/>
    </row>
    <row r="683" spans="14:30">
      <c r="N683" s="7"/>
      <c r="P683" s="86"/>
      <c r="Q683" s="4"/>
      <c r="R683" s="4"/>
      <c r="S683" s="4"/>
      <c r="T683" s="4"/>
      <c r="U683" s="4"/>
      <c r="V683" s="4"/>
      <c r="X683" s="4"/>
      <c r="Y683" s="4"/>
      <c r="AA683" s="4"/>
      <c r="AB683" s="4"/>
      <c r="AC683" s="4"/>
      <c r="AD683" s="95"/>
    </row>
    <row r="684" spans="14:30">
      <c r="N684" s="7"/>
      <c r="P684" s="86"/>
      <c r="Q684" s="4"/>
      <c r="R684" s="4"/>
      <c r="S684" s="4"/>
      <c r="T684" s="4"/>
      <c r="U684" s="4"/>
      <c r="V684" s="4"/>
      <c r="X684" s="4"/>
      <c r="Y684" s="4"/>
      <c r="AA684" s="4"/>
      <c r="AB684" s="4"/>
      <c r="AC684" s="4"/>
      <c r="AD684" s="95"/>
    </row>
    <row r="685" spans="14:30">
      <c r="N685" s="7"/>
      <c r="P685" s="86"/>
      <c r="Q685" s="4"/>
      <c r="R685" s="4"/>
      <c r="S685" s="4"/>
      <c r="T685" s="4"/>
      <c r="U685" s="4"/>
      <c r="V685" s="4"/>
      <c r="X685" s="4"/>
      <c r="Y685" s="4"/>
      <c r="AA685" s="4"/>
      <c r="AB685" s="4"/>
      <c r="AC685" s="4"/>
      <c r="AD685" s="95"/>
    </row>
    <row r="686" spans="14:30">
      <c r="N686" s="7"/>
      <c r="P686" s="86"/>
      <c r="Q686" s="4"/>
      <c r="R686" s="4"/>
      <c r="S686" s="4"/>
      <c r="T686" s="4"/>
      <c r="U686" s="4"/>
      <c r="V686" s="4"/>
      <c r="X686" s="4"/>
      <c r="Y686" s="4"/>
      <c r="AA686" s="4"/>
      <c r="AB686" s="4"/>
      <c r="AC686" s="4"/>
      <c r="AD686" s="95"/>
    </row>
    <row r="687" spans="14:30">
      <c r="N687" s="7"/>
      <c r="P687" s="86"/>
      <c r="Q687" s="4"/>
      <c r="R687" s="4"/>
      <c r="S687" s="4"/>
      <c r="T687" s="4"/>
      <c r="U687" s="4"/>
      <c r="V687" s="4"/>
      <c r="X687" s="4"/>
      <c r="Y687" s="4"/>
      <c r="AA687" s="4"/>
      <c r="AB687" s="4"/>
      <c r="AC687" s="4"/>
      <c r="AD687" s="95"/>
    </row>
    <row r="688" spans="14:30">
      <c r="N688" s="7"/>
      <c r="P688" s="86"/>
      <c r="Q688" s="4"/>
      <c r="R688" s="4"/>
      <c r="S688" s="4"/>
      <c r="T688" s="4"/>
      <c r="U688" s="4"/>
      <c r="V688" s="4"/>
      <c r="X688" s="4"/>
      <c r="Y688" s="4"/>
      <c r="AA688" s="4"/>
      <c r="AB688" s="4"/>
      <c r="AC688" s="4"/>
      <c r="AD688" s="95"/>
    </row>
    <row r="689" spans="14:30">
      <c r="N689" s="7"/>
      <c r="P689" s="86"/>
      <c r="Q689" s="4"/>
      <c r="R689" s="4"/>
      <c r="S689" s="4"/>
      <c r="T689" s="4"/>
      <c r="U689" s="4"/>
      <c r="V689" s="4"/>
      <c r="X689" s="4"/>
      <c r="Y689" s="4"/>
      <c r="AA689" s="4"/>
      <c r="AB689" s="4"/>
      <c r="AC689" s="4"/>
      <c r="AD689" s="95"/>
    </row>
    <row r="690" spans="14:30">
      <c r="N690" s="7"/>
      <c r="P690" s="86"/>
      <c r="Q690" s="4"/>
      <c r="R690" s="4"/>
      <c r="S690" s="4"/>
      <c r="T690" s="4"/>
      <c r="U690" s="4"/>
      <c r="V690" s="4"/>
      <c r="X690" s="4"/>
      <c r="Y690" s="4"/>
      <c r="AA690" s="4"/>
      <c r="AB690" s="4"/>
      <c r="AC690" s="4"/>
      <c r="AD690" s="95"/>
    </row>
    <row r="691" spans="14:30">
      <c r="N691" s="7"/>
      <c r="P691" s="86"/>
      <c r="Q691" s="4"/>
      <c r="R691" s="4"/>
      <c r="S691" s="4"/>
      <c r="T691" s="4"/>
      <c r="U691" s="4"/>
      <c r="V691" s="4"/>
      <c r="X691" s="4"/>
      <c r="Y691" s="4"/>
      <c r="AA691" s="4"/>
      <c r="AB691" s="4"/>
      <c r="AC691" s="4"/>
      <c r="AD691" s="95"/>
    </row>
    <row r="692" spans="14:30">
      <c r="N692" s="7"/>
      <c r="P692" s="86"/>
      <c r="Q692" s="4"/>
      <c r="R692" s="4"/>
      <c r="S692" s="4"/>
      <c r="T692" s="4"/>
      <c r="U692" s="4"/>
      <c r="V692" s="4"/>
      <c r="X692" s="4"/>
      <c r="Y692" s="4"/>
      <c r="AA692" s="4"/>
      <c r="AB692" s="4"/>
      <c r="AC692" s="4"/>
      <c r="AD692" s="95"/>
    </row>
    <row r="693" spans="14:30">
      <c r="N693" s="7"/>
      <c r="P693" s="86"/>
      <c r="Q693" s="4"/>
      <c r="R693" s="4"/>
      <c r="S693" s="4"/>
      <c r="T693" s="4"/>
      <c r="U693" s="4"/>
      <c r="V693" s="4"/>
      <c r="X693" s="4"/>
      <c r="Y693" s="4"/>
      <c r="AA693" s="4"/>
      <c r="AB693" s="4"/>
      <c r="AC693" s="4"/>
      <c r="AD693" s="95"/>
    </row>
    <row r="694" spans="14:30">
      <c r="N694" s="7"/>
      <c r="P694" s="86"/>
      <c r="Q694" s="4"/>
      <c r="R694" s="4"/>
      <c r="S694" s="4"/>
      <c r="T694" s="4"/>
      <c r="U694" s="4"/>
      <c r="V694" s="4"/>
      <c r="X694" s="4"/>
      <c r="Y694" s="4"/>
      <c r="AA694" s="4"/>
      <c r="AB694" s="4"/>
      <c r="AC694" s="4"/>
      <c r="AD694" s="95"/>
    </row>
    <row r="695" spans="14:30">
      <c r="N695" s="7"/>
      <c r="P695" s="86"/>
      <c r="Q695" s="4"/>
      <c r="R695" s="4"/>
      <c r="S695" s="4"/>
      <c r="T695" s="4"/>
      <c r="U695" s="4"/>
      <c r="V695" s="4"/>
      <c r="X695" s="4"/>
      <c r="Y695" s="4"/>
      <c r="AA695" s="4"/>
      <c r="AB695" s="4"/>
      <c r="AC695" s="4"/>
      <c r="AD695" s="95"/>
    </row>
    <row r="696" spans="14:30">
      <c r="N696" s="7"/>
      <c r="P696" s="86"/>
      <c r="Q696" s="4"/>
      <c r="R696" s="4"/>
      <c r="S696" s="4"/>
      <c r="T696" s="4"/>
      <c r="U696" s="4"/>
      <c r="V696" s="4"/>
      <c r="X696" s="4"/>
      <c r="Y696" s="4"/>
      <c r="AA696" s="4"/>
      <c r="AB696" s="4"/>
      <c r="AC696" s="4"/>
      <c r="AD696" s="95"/>
    </row>
    <row r="697" spans="14:30">
      <c r="N697" s="7"/>
      <c r="P697" s="86"/>
      <c r="Q697" s="4"/>
      <c r="R697" s="4"/>
      <c r="S697" s="4"/>
      <c r="T697" s="4"/>
      <c r="U697" s="4"/>
      <c r="V697" s="4"/>
      <c r="X697" s="4"/>
      <c r="Y697" s="4"/>
      <c r="AA697" s="4"/>
      <c r="AB697" s="4"/>
      <c r="AC697" s="4"/>
      <c r="AD697" s="95"/>
    </row>
    <row r="698" spans="14:30">
      <c r="N698" s="7"/>
      <c r="P698" s="86"/>
      <c r="Q698" s="4"/>
      <c r="R698" s="4"/>
      <c r="S698" s="4"/>
      <c r="T698" s="4"/>
      <c r="U698" s="4"/>
      <c r="V698" s="4"/>
      <c r="X698" s="4"/>
      <c r="Y698" s="4"/>
      <c r="AA698" s="4"/>
      <c r="AB698" s="4"/>
      <c r="AC698" s="4"/>
      <c r="AD698" s="95"/>
    </row>
    <row r="699" spans="14:30">
      <c r="N699" s="7"/>
      <c r="P699" s="86"/>
      <c r="Q699" s="4"/>
      <c r="R699" s="4"/>
      <c r="S699" s="4"/>
      <c r="T699" s="4"/>
      <c r="U699" s="4"/>
      <c r="V699" s="4"/>
      <c r="X699" s="4"/>
      <c r="Y699" s="4"/>
      <c r="AA699" s="4"/>
      <c r="AB699" s="4"/>
      <c r="AC699" s="4"/>
      <c r="AD699" s="95"/>
    </row>
    <row r="700" spans="14:30">
      <c r="N700" s="7"/>
      <c r="P700" s="86"/>
      <c r="Q700" s="4"/>
      <c r="R700" s="4"/>
      <c r="S700" s="4"/>
      <c r="T700" s="4"/>
      <c r="U700" s="4"/>
      <c r="V700" s="4"/>
      <c r="X700" s="4"/>
      <c r="Y700" s="4"/>
      <c r="AA700" s="4"/>
      <c r="AB700" s="4"/>
      <c r="AC700" s="4"/>
      <c r="AD700" s="95"/>
    </row>
    <row r="701" spans="14:30">
      <c r="N701" s="7"/>
      <c r="P701" s="86"/>
      <c r="Q701" s="4"/>
      <c r="R701" s="4"/>
      <c r="S701" s="4"/>
      <c r="T701" s="4"/>
      <c r="U701" s="4"/>
      <c r="V701" s="4"/>
      <c r="X701" s="4"/>
      <c r="Y701" s="4"/>
      <c r="AA701" s="4"/>
      <c r="AB701" s="4"/>
      <c r="AC701" s="4"/>
      <c r="AD701" s="95"/>
    </row>
    <row r="702" spans="14:30">
      <c r="N702" s="7"/>
      <c r="P702" s="86"/>
      <c r="Q702" s="4"/>
      <c r="R702" s="4"/>
      <c r="S702" s="4"/>
      <c r="T702" s="4"/>
      <c r="U702" s="4"/>
      <c r="V702" s="4"/>
      <c r="X702" s="4"/>
      <c r="Y702" s="4"/>
      <c r="AA702" s="4"/>
      <c r="AB702" s="4"/>
      <c r="AC702" s="4"/>
      <c r="AD702" s="95"/>
    </row>
    <row r="703" spans="14:30">
      <c r="N703" s="7"/>
      <c r="P703" s="86"/>
      <c r="Q703" s="4"/>
      <c r="R703" s="4"/>
      <c r="S703" s="4"/>
      <c r="T703" s="4"/>
      <c r="U703" s="4"/>
      <c r="V703" s="4"/>
      <c r="X703" s="4"/>
      <c r="Y703" s="4"/>
      <c r="AA703" s="4"/>
      <c r="AB703" s="4"/>
      <c r="AC703" s="4"/>
      <c r="AD703" s="95"/>
    </row>
    <row r="704" spans="14:30">
      <c r="N704" s="7"/>
      <c r="P704" s="86"/>
      <c r="Q704" s="4"/>
      <c r="R704" s="4"/>
      <c r="S704" s="4"/>
      <c r="T704" s="4"/>
      <c r="U704" s="4"/>
      <c r="V704" s="4"/>
      <c r="X704" s="4"/>
      <c r="Y704" s="4"/>
      <c r="AA704" s="4"/>
      <c r="AB704" s="4"/>
      <c r="AC704" s="4"/>
      <c r="AD704" s="95"/>
    </row>
    <row r="705" spans="14:30">
      <c r="N705" s="7"/>
      <c r="P705" s="86"/>
      <c r="Q705" s="4"/>
      <c r="R705" s="4"/>
      <c r="S705" s="4"/>
      <c r="T705" s="4"/>
      <c r="U705" s="4"/>
      <c r="V705" s="4"/>
      <c r="X705" s="4"/>
      <c r="Y705" s="4"/>
      <c r="AA705" s="4"/>
      <c r="AB705" s="4"/>
      <c r="AC705" s="4"/>
      <c r="AD705" s="95"/>
    </row>
    <row r="706" spans="14:30">
      <c r="N706" s="7"/>
      <c r="P706" s="86"/>
      <c r="Q706" s="4"/>
      <c r="R706" s="4"/>
      <c r="S706" s="4"/>
      <c r="T706" s="4"/>
      <c r="U706" s="4"/>
      <c r="V706" s="4"/>
      <c r="X706" s="4"/>
      <c r="Y706" s="4"/>
      <c r="AA706" s="4"/>
      <c r="AB706" s="4"/>
      <c r="AC706" s="4"/>
      <c r="AD706" s="95"/>
    </row>
    <row r="707" spans="14:30">
      <c r="N707" s="7"/>
      <c r="P707" s="86"/>
      <c r="Q707" s="4"/>
      <c r="R707" s="4"/>
      <c r="S707" s="4"/>
      <c r="T707" s="4"/>
      <c r="U707" s="4"/>
      <c r="V707" s="4"/>
      <c r="X707" s="4"/>
      <c r="Y707" s="4"/>
      <c r="AA707" s="4"/>
      <c r="AB707" s="4"/>
      <c r="AC707" s="4"/>
      <c r="AD707" s="95"/>
    </row>
    <row r="708" spans="14:30">
      <c r="N708" s="7"/>
      <c r="P708" s="86"/>
      <c r="Q708" s="4"/>
      <c r="R708" s="4"/>
      <c r="S708" s="4"/>
      <c r="T708" s="4"/>
      <c r="U708" s="4"/>
      <c r="V708" s="4"/>
      <c r="X708" s="4"/>
      <c r="Y708" s="4"/>
      <c r="AA708" s="4"/>
      <c r="AB708" s="4"/>
      <c r="AC708" s="4"/>
      <c r="AD708" s="95"/>
    </row>
  </sheetData>
  <mergeCells count="46">
    <mergeCell ref="A1:M1"/>
    <mergeCell ref="N1:X1"/>
    <mergeCell ref="AF2:AR2"/>
    <mergeCell ref="P4:AE4"/>
    <mergeCell ref="AS4:BE4"/>
    <mergeCell ref="BF4:BH4"/>
    <mergeCell ref="BI4:BK4"/>
    <mergeCell ref="BL4:BM4"/>
    <mergeCell ref="Q5:S5"/>
    <mergeCell ref="T5:V5"/>
    <mergeCell ref="W5:Y5"/>
    <mergeCell ref="Z5:AB5"/>
    <mergeCell ref="AC5:AE5"/>
    <mergeCell ref="AG5:AI5"/>
    <mergeCell ref="AJ5:AL5"/>
    <mergeCell ref="AM5:AO5"/>
    <mergeCell ref="AP5:AR5"/>
    <mergeCell ref="AT5:AV5"/>
    <mergeCell ref="AW5:AY5"/>
    <mergeCell ref="AZ5:BB5"/>
    <mergeCell ref="BC5:BE5"/>
    <mergeCell ref="BF5:BH5"/>
    <mergeCell ref="BI5:BK5"/>
    <mergeCell ref="BL5:BM5"/>
    <mergeCell ref="E6:K6"/>
    <mergeCell ref="P16:AE16"/>
    <mergeCell ref="AF16:AR16"/>
    <mergeCell ref="AS16:BE16"/>
    <mergeCell ref="BF16:BH16"/>
    <mergeCell ref="BI16:BK16"/>
    <mergeCell ref="BL16:BM16"/>
    <mergeCell ref="Q17:S17"/>
    <mergeCell ref="T17:V17"/>
    <mergeCell ref="W17:Y17"/>
    <mergeCell ref="Z17:AB17"/>
    <mergeCell ref="AC17:AE17"/>
    <mergeCell ref="AG17:AI17"/>
    <mergeCell ref="AJ17:AL17"/>
    <mergeCell ref="AM17:AO17"/>
    <mergeCell ref="AP17:AR17"/>
    <mergeCell ref="AT17:AV17"/>
    <mergeCell ref="AW17:AY17"/>
    <mergeCell ref="AZ17:BB17"/>
    <mergeCell ref="BC17:BE17"/>
    <mergeCell ref="BF17:BH17"/>
    <mergeCell ref="BI17:BK17"/>
  </mergeCells>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I53"/>
  <sheetViews>
    <sheetView zoomScale="85" zoomScaleNormal="85" topLeftCell="A13" workbookViewId="0">
      <selection activeCell="G41" sqref="G41"/>
    </sheetView>
  </sheetViews>
  <sheetFormatPr defaultColWidth="9" defaultRowHeight="15"/>
  <cols>
    <col min="1" max="1" width="26.8571428571429" customWidth="1"/>
    <col min="2" max="2" width="25.5714285714286" customWidth="1"/>
    <col min="3" max="3" width="10.1428571428571" customWidth="1"/>
  </cols>
  <sheetData>
    <row r="1" ht="27.75" spans="1:9">
      <c r="A1" s="1" t="s">
        <v>513</v>
      </c>
      <c r="B1" s="1"/>
      <c r="C1" s="1"/>
      <c r="D1" s="1"/>
      <c r="E1" s="1"/>
      <c r="F1" s="1"/>
      <c r="G1" s="1"/>
      <c r="H1" s="1"/>
      <c r="I1" s="1"/>
    </row>
    <row r="2" spans="1:9">
      <c r="A2" s="2"/>
      <c r="B2" s="2" t="s">
        <v>91</v>
      </c>
      <c r="C2" s="3"/>
      <c r="D2" s="4"/>
      <c r="E2" s="2"/>
      <c r="F2" s="2"/>
      <c r="G2" s="2"/>
      <c r="H2" s="2"/>
      <c r="I2" s="2"/>
    </row>
    <row r="3" spans="1:9">
      <c r="A3" s="2"/>
      <c r="B3" s="2" t="s">
        <v>92</v>
      </c>
      <c r="C3" s="5"/>
      <c r="D3" s="4"/>
      <c r="E3" s="2"/>
      <c r="F3" s="2"/>
      <c r="G3" s="2"/>
      <c r="H3" s="2"/>
      <c r="I3" s="2"/>
    </row>
    <row r="4" spans="1:9">
      <c r="A4" s="2"/>
      <c r="B4" s="2" t="s">
        <v>96</v>
      </c>
      <c r="C4" s="6"/>
      <c r="D4" s="4"/>
      <c r="E4" s="2"/>
      <c r="F4" s="2"/>
      <c r="G4" s="2"/>
      <c r="H4" s="2"/>
      <c r="I4" s="2"/>
    </row>
    <row r="5" spans="1:9">
      <c r="A5" s="7" t="s">
        <v>97</v>
      </c>
      <c r="B5" s="7" t="s">
        <v>98</v>
      </c>
      <c r="C5" s="7" t="s">
        <v>99</v>
      </c>
      <c r="D5" s="4"/>
      <c r="E5" s="8" t="s">
        <v>100</v>
      </c>
      <c r="F5" s="8"/>
      <c r="G5" s="8"/>
      <c r="H5" s="8"/>
      <c r="I5" s="7"/>
    </row>
    <row r="6" customFormat="1" spans="1:9">
      <c r="A6" s="7"/>
      <c r="B6" s="7"/>
      <c r="C6" s="7"/>
      <c r="D6" s="9" t="s">
        <v>514</v>
      </c>
      <c r="E6" s="8"/>
      <c r="F6" s="8"/>
      <c r="G6" s="8"/>
      <c r="H6" s="8"/>
      <c r="I6" s="7"/>
    </row>
    <row r="7" customFormat="1" spans="1:9">
      <c r="A7" s="7" t="s">
        <v>515</v>
      </c>
      <c r="B7" s="7"/>
      <c r="C7" s="7"/>
      <c r="D7" s="4"/>
      <c r="E7" s="8"/>
      <c r="F7" s="8"/>
      <c r="G7" s="8"/>
      <c r="H7" s="8"/>
      <c r="I7" s="7"/>
    </row>
    <row r="8" customFormat="1" spans="1:9">
      <c r="A8" s="7"/>
      <c r="B8" s="7"/>
      <c r="C8" s="7"/>
      <c r="D8" s="4"/>
      <c r="E8" s="8"/>
      <c r="F8" s="8"/>
      <c r="G8" s="8"/>
      <c r="H8" s="8"/>
      <c r="I8" s="7"/>
    </row>
    <row r="9" spans="1:9">
      <c r="A9" t="s">
        <v>516</v>
      </c>
      <c r="B9" s="10">
        <v>0.91</v>
      </c>
      <c r="D9" t="s">
        <v>517</v>
      </c>
    </row>
    <row r="10" customFormat="1" spans="1:9">
      <c r="A10" t="s">
        <v>518</v>
      </c>
      <c r="B10" s="11">
        <f>(1-B9)/(2.2*10^6)</f>
        <v>4.09090909090909e-8</v>
      </c>
      <c r="C10" t="s">
        <v>173</v>
      </c>
      <c r="D10" t="s">
        <v>519</v>
      </c>
    </row>
    <row r="11" spans="1:9">
      <c r="A11" t="s">
        <v>520</v>
      </c>
      <c r="B11" s="10">
        <v>0.95</v>
      </c>
      <c r="D11" t="s">
        <v>517</v>
      </c>
    </row>
    <row r="12" customFormat="1" spans="1:9">
      <c r="A12" t="s">
        <v>521</v>
      </c>
      <c r="B12" s="11">
        <f>(1-B11)/(2.2*10^6)</f>
        <v>2.27272727272727e-8</v>
      </c>
      <c r="C12" t="s">
        <v>173</v>
      </c>
      <c r="D12" t="s">
        <v>522</v>
      </c>
    </row>
    <row r="13" spans="1:9">
      <c r="A13" t="s">
        <v>523</v>
      </c>
      <c r="B13" s="10">
        <v>0.98</v>
      </c>
      <c r="D13" t="s">
        <v>517</v>
      </c>
    </row>
    <row r="14" spans="1:9">
      <c r="A14" t="s">
        <v>524</v>
      </c>
      <c r="B14" s="11">
        <f>(1-B13)/(2.2*10^6)</f>
        <v>9.0909090909091e-9</v>
      </c>
      <c r="C14" t="s">
        <v>173</v>
      </c>
      <c r="D14" t="s">
        <v>525</v>
      </c>
    </row>
    <row r="16" spans="1:9">
      <c r="A16" t="s">
        <v>526</v>
      </c>
      <c r="B16" s="10">
        <v>0.97</v>
      </c>
      <c r="D16" t="s">
        <v>527</v>
      </c>
    </row>
    <row r="17" spans="1:6">
      <c r="A17" t="s">
        <v>528</v>
      </c>
      <c r="B17" s="10">
        <v>0.98</v>
      </c>
      <c r="D17" t="s">
        <v>529</v>
      </c>
    </row>
    <row r="18" spans="1:6">
      <c r="A18" t="s">
        <v>530</v>
      </c>
      <c r="B18" s="10">
        <v>0.99</v>
      </c>
      <c r="D18" t="s">
        <v>531</v>
      </c>
    </row>
    <row r="19" spans="1:6">
      <c r="B19">
        <f>IF(((1-D_limit_min)/Constants!B12)&lt;Fsw,2,1)</f>
        <v>1</v>
      </c>
      <c r="D19" t="s">
        <v>532</v>
      </c>
    </row>
    <row r="20" spans="1:6">
      <c r="A20" t="s">
        <v>533</v>
      </c>
      <c r="B20" s="12">
        <f>CHOOSE(B19,D_limit_min,(1-Constants!B10*Fsw))</f>
        <v>0.97</v>
      </c>
      <c r="D20" t="s">
        <v>534</v>
      </c>
    </row>
    <row r="22" spans="1:6">
      <c r="A22" t="s">
        <v>535</v>
      </c>
      <c r="B22" s="10">
        <f>325*10^-9</f>
        <v>3.25e-7</v>
      </c>
      <c r="C22" t="s">
        <v>173</v>
      </c>
      <c r="D22" t="s">
        <v>536</v>
      </c>
    </row>
    <row r="23" customFormat="1" spans="1:6">
      <c r="B23" s="13"/>
    </row>
    <row r="24" ht="15.75" spans="1:6">
      <c r="A24" s="14" t="s">
        <v>537</v>
      </c>
      <c r="E24" t="s">
        <v>538</v>
      </c>
      <c r="F24" s="15">
        <f>'Design Converter'!H12*1000</f>
        <v>700000</v>
      </c>
    </row>
    <row r="25" spans="1:6">
      <c r="A25" t="s">
        <v>484</v>
      </c>
      <c r="B25" s="10">
        <f>0.00005-(0.00000000001*F24)</f>
        <v>4.3e-5</v>
      </c>
      <c r="C25" t="s">
        <v>12</v>
      </c>
      <c r="D25" t="s">
        <v>539</v>
      </c>
    </row>
    <row r="26" spans="1:6">
      <c r="A26" t="s">
        <v>482</v>
      </c>
      <c r="B26" s="10">
        <v>2000</v>
      </c>
      <c r="C26" s="16" t="s">
        <v>35</v>
      </c>
      <c r="D26" t="s">
        <v>540</v>
      </c>
    </row>
    <row r="27" spans="1:6">
      <c r="A27" t="s">
        <v>541</v>
      </c>
      <c r="B27" s="10">
        <f>0.156</f>
        <v>0.156</v>
      </c>
      <c r="C27" s="16" t="s">
        <v>7</v>
      </c>
      <c r="D27" t="s">
        <v>542</v>
      </c>
    </row>
    <row r="28" spans="1:6">
      <c r="A28" t="s">
        <v>543</v>
      </c>
      <c r="B28" s="10">
        <v>2000</v>
      </c>
      <c r="C28" s="16" t="s">
        <v>35</v>
      </c>
    </row>
    <row r="29" spans="1:6">
      <c r="A29" t="s">
        <v>486</v>
      </c>
      <c r="B29" s="10">
        <f>0.9</f>
        <v>0.9</v>
      </c>
      <c r="C29" t="s">
        <v>244</v>
      </c>
      <c r="D29" t="s">
        <v>544</v>
      </c>
    </row>
    <row r="30" spans="1:6">
      <c r="A30" t="s">
        <v>545</v>
      </c>
      <c r="B30" s="10">
        <v>1</v>
      </c>
      <c r="C30" t="s">
        <v>244</v>
      </c>
      <c r="D30" t="s">
        <v>546</v>
      </c>
    </row>
    <row r="32" customFormat="1" spans="1:6">
      <c r="A32" s="17" t="s">
        <v>438</v>
      </c>
    </row>
    <row r="33" customFormat="1" spans="1:7">
      <c r="A33" t="s">
        <v>547</v>
      </c>
      <c r="B33" s="10">
        <v>1.26</v>
      </c>
      <c r="C33" t="s">
        <v>7</v>
      </c>
      <c r="D33" t="s">
        <v>548</v>
      </c>
    </row>
    <row r="34" spans="1:7">
      <c r="A34" t="s">
        <v>549</v>
      </c>
      <c r="B34" s="10">
        <f>(800*10^-6)/1</f>
        <v>0.0008</v>
      </c>
      <c r="C34" t="s">
        <v>550</v>
      </c>
      <c r="D34" t="s">
        <v>551</v>
      </c>
    </row>
    <row r="36" spans="1:7">
      <c r="A36" s="17" t="s">
        <v>552</v>
      </c>
    </row>
    <row r="37" spans="1:7">
      <c r="A37" t="s">
        <v>553</v>
      </c>
      <c r="B37" s="10">
        <v>4</v>
      </c>
      <c r="C37" t="s">
        <v>283</v>
      </c>
    </row>
    <row r="39" spans="1:7">
      <c r="A39" s="17" t="s">
        <v>554</v>
      </c>
    </row>
    <row r="40" spans="1:7">
      <c r="A40" t="s">
        <v>555</v>
      </c>
      <c r="B40" s="10">
        <v>3.02</v>
      </c>
      <c r="C40" t="s">
        <v>7</v>
      </c>
      <c r="D40" t="s">
        <v>556</v>
      </c>
    </row>
    <row r="41" spans="1:7">
      <c r="A41" t="s">
        <v>557</v>
      </c>
      <c r="B41" s="10">
        <v>2.85</v>
      </c>
      <c r="C41" t="s">
        <v>7</v>
      </c>
      <c r="D41" t="s">
        <v>556</v>
      </c>
    </row>
    <row r="42" spans="1:7">
      <c r="A42" t="s">
        <v>558</v>
      </c>
      <c r="B42" s="10">
        <v>0.17</v>
      </c>
      <c r="C42" t="s">
        <v>7</v>
      </c>
      <c r="D42" t="s">
        <v>556</v>
      </c>
    </row>
    <row r="44" spans="1:7">
      <c r="A44" s="17" t="s">
        <v>559</v>
      </c>
    </row>
    <row r="45" spans="1:7">
      <c r="A45" t="s">
        <v>560</v>
      </c>
      <c r="B45" s="10">
        <v>7.2</v>
      </c>
      <c r="C45" t="s">
        <v>7</v>
      </c>
      <c r="D45" t="s">
        <v>561</v>
      </c>
    </row>
    <row r="47" spans="1:7">
      <c r="A47" s="17" t="s">
        <v>562</v>
      </c>
    </row>
    <row r="48" spans="1:7">
      <c r="A48" t="s">
        <v>563</v>
      </c>
      <c r="B48" s="10">
        <f>3.3*(10^-3)</f>
        <v>0.0033</v>
      </c>
      <c r="C48" t="s">
        <v>12</v>
      </c>
      <c r="D48" t="s">
        <v>564</v>
      </c>
      <c r="G48" t="s">
        <v>565</v>
      </c>
    </row>
    <row r="50" spans="1:4">
      <c r="A50" t="s">
        <v>566</v>
      </c>
    </row>
    <row r="51" spans="1:4">
      <c r="A51" t="s">
        <v>567</v>
      </c>
      <c r="B51" s="10">
        <v>2.97</v>
      </c>
      <c r="C51" t="s">
        <v>7</v>
      </c>
      <c r="D51" t="s">
        <v>568</v>
      </c>
    </row>
    <row r="52" spans="1:4">
      <c r="A52" t="s">
        <v>569</v>
      </c>
      <c r="B52" s="10">
        <v>40</v>
      </c>
      <c r="C52" t="s">
        <v>7</v>
      </c>
      <c r="D52" t="s">
        <v>570</v>
      </c>
    </row>
    <row r="53" spans="1:4">
      <c r="A53" t="s">
        <v>571</v>
      </c>
      <c r="B53" s="10">
        <v>40</v>
      </c>
      <c r="C53" t="s">
        <v>7</v>
      </c>
      <c r="D53" t="s">
        <v>572</v>
      </c>
    </row>
  </sheetData>
  <mergeCells count="2">
    <mergeCell ref="A1:I1"/>
    <mergeCell ref="E5:H5"/>
  </mergeCells>
  <pageMargins left="0.7" right="0.7" top="0.75" bottom="0.75" header="0.3" footer="0.3"/>
  <pageSetup paperSize="1"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B2:B3"/>
  <sheetViews>
    <sheetView zoomScale="70" zoomScaleNormal="70" topLeftCell="B1" workbookViewId="0">
      <selection activeCell="E3" sqref="E3"/>
    </sheetView>
  </sheetViews>
  <sheetFormatPr defaultColWidth="9" defaultRowHeight="15" outlineLevelRow="2" outlineLevelCol="1"/>
  <cols>
    <col min="3" max="3" width="144.857142857143" customWidth="1"/>
  </cols>
  <sheetData>
    <row r="2" spans="2:2">
      <c r="B2" t="str">
        <f>"Eff_vs_IOUT"</f>
        <v>Eff_vs_IOUT</v>
      </c>
    </row>
    <row r="3" ht="379.7" customHeight="1"/>
  </sheetData>
  <pageMargins left="0.7" right="0.7" top="0.75" bottom="0.75" header="0.3" footer="0.3"/>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2"/>
  <sheetViews>
    <sheetView workbookViewId="0">
      <selection activeCell="C2" sqref="C2"/>
    </sheetView>
  </sheetViews>
  <sheetFormatPr defaultColWidth="9" defaultRowHeight="15" outlineLevelRow="1"/>
  <cols>
    <col min="2" max="2" width="71.2857142857143" customWidth="1"/>
  </cols>
  <sheetData>
    <row r="2" ht="294.6" customHeight="1"/>
  </sheetData>
  <pageMargins left="0.7" right="0.7" top="0.75" bottom="0.75" header="0.3" footer="0.3"/>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2:D5"/>
  <sheetViews>
    <sheetView workbookViewId="0">
      <selection activeCell="B3" sqref="B3"/>
    </sheetView>
  </sheetViews>
  <sheetFormatPr defaultColWidth="9" defaultRowHeight="15" outlineLevelRow="4" outlineLevelCol="3"/>
  <sheetData>
    <row r="2" spans="1:4">
      <c r="A2" t="s">
        <v>573</v>
      </c>
    </row>
    <row r="3" spans="1:4">
      <c r="B3">
        <f>VIN_min</f>
        <v>3</v>
      </c>
    </row>
    <row r="4" spans="1:4">
      <c r="B4">
        <f>VIN_nom</f>
        <v>4.2</v>
      </c>
      <c r="D4">
        <v>2.5</v>
      </c>
    </row>
    <row r="5" spans="1:4">
      <c r="B5">
        <f>VIN_max</f>
        <v>12.6</v>
      </c>
    </row>
  </sheetData>
  <dataValidations count="3">
    <dataValidation type="list" allowBlank="1" showInputMessage="1" showErrorMessage="1" sqref="D4">
      <formula1>$B$3:$B$5</formula1>
    </dataValidation>
    <dataValidation type="decimal" operator="between" allowBlank="1" showInputMessage="1" showErrorMessage="1" sqref="F4">
      <formula1>B3</formula1>
      <formula2>B5</formula2>
    </dataValidation>
    <dataValidation type="list" showInputMessage="1" showErrorMessage="1" sqref="I15" showDropDown="1">
      <formula1>$B$3:$B$5</formula1>
    </dataValidation>
  </dataValidations>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 master="" otherUserPermission="visible"/>
  <rangeList sheetStid="10" master="" otherUserPermission="visible"/>
  <rangeList sheetStid="2" master="" otherUserPermission="visible"/>
  <rangeList sheetStid="4" master="" otherUserPermission="visible"/>
  <rangeList sheetStid="5" master="" otherUserPermission="visible"/>
  <rangeList sheetStid="3" master="" otherUserPermission="visible"/>
  <rangeList sheetStid="6" master="" otherUserPermission="visible"/>
  <rangeList sheetStid="7" master="" otherUserPermission="visible"/>
  <rangeList sheetStid="8" master="" otherUserPermission="visible"/>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Company>Texas Instruments Incorporated</Company>
  <Application>Microsoft Excel</Application>
  <HeadingPairs>
    <vt:vector size="2" baseType="variant">
      <vt:variant>
        <vt:lpstr>工作表</vt:lpstr>
      </vt:variant>
      <vt:variant>
        <vt:i4>9</vt:i4>
      </vt:variant>
    </vt:vector>
  </HeadingPairs>
  <TitlesOfParts>
    <vt:vector size="9" baseType="lpstr">
      <vt:lpstr>Design Converter</vt:lpstr>
      <vt:lpstr>Licenses</vt:lpstr>
      <vt:lpstr>Variable_Management</vt:lpstr>
      <vt:lpstr>Eff_vs_IOUT</vt:lpstr>
      <vt:lpstr>Loop_Modeling</vt:lpstr>
      <vt:lpstr>Constants</vt:lpstr>
      <vt:lpstr>Plot_Management_Eff</vt:lpstr>
      <vt:lpstr>Plot_Management_Sch</vt:lpstr>
      <vt:lpstr>Lists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BMC-BCS</dc:creator>
  <cp:lastModifiedBy>User</cp:lastModifiedBy>
  <dcterms:created xsi:type="dcterms:W3CDTF">2018-06-26T09:13:00Z</dcterms:created>
  <cp:lastPrinted>2018-08-09T07:13:00Z</cp:lastPrinted>
  <dcterms:modified xsi:type="dcterms:W3CDTF">2026-10-03T22:19:53Z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FA8F5C428ACF4829BF6D84869630F810_13</vt:lpwstr>
  </property>
  <property fmtid="{D5CDD505-2E9C-101B-9397-08002B2CF9AE}" pid="3" name="KSOProductBuildVer">
    <vt:lpwstr>1045-12.1.0.28485</vt:lpwstr>
  </property>
  <property fmtid="{D5CDD505-2E9C-101B-9397-08002B2CF9AE}" pid="4" name="CalculationRule">
    <vt:i4>0</vt:i4>
  </property>
</Properties>
</file>