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Euden\15-Evaluacion de Negocios\"/>
    </mc:Choice>
  </mc:AlternateContent>
  <xr:revisionPtr revIDLastSave="0" documentId="13_ncr:1_{A7EF3333-AA60-4B0F-B62B-93552238B156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omputosinfinanciamiento" sheetId="3" r:id="rId1"/>
    <sheet name="computoconfinanciamiento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9" l="1"/>
  <c r="F55" i="9"/>
  <c r="E55" i="9"/>
  <c r="D55" i="9"/>
  <c r="C55" i="9"/>
  <c r="C57" i="9"/>
  <c r="C59" i="9"/>
  <c r="Q73" i="9" l="1"/>
  <c r="Q75" i="9"/>
  <c r="I75" i="9"/>
  <c r="B75" i="9"/>
  <c r="E33" i="9"/>
  <c r="AC49" i="9"/>
  <c r="AC69" i="9" s="1"/>
  <c r="AB49" i="9"/>
  <c r="AB69" i="9" s="1"/>
  <c r="AA49" i="9"/>
  <c r="AA69" i="9" s="1"/>
  <c r="Z49" i="9"/>
  <c r="Z69" i="9" s="1"/>
  <c r="Y49" i="9"/>
  <c r="Y69" i="9" s="1"/>
  <c r="X49" i="9"/>
  <c r="X69" i="9" s="1"/>
  <c r="AC47" i="9"/>
  <c r="AB47" i="9"/>
  <c r="AA47" i="9"/>
  <c r="Z47" i="9"/>
  <c r="Y47" i="9"/>
  <c r="X47" i="9"/>
  <c r="AC42" i="9"/>
  <c r="AB42" i="9"/>
  <c r="AA42" i="9"/>
  <c r="Z42" i="9"/>
  <c r="Y42" i="9"/>
  <c r="X42" i="9"/>
  <c r="AC41" i="9"/>
  <c r="AC45" i="9" s="1"/>
  <c r="AB41" i="9"/>
  <c r="AB45" i="9" s="1"/>
  <c r="AA41" i="9"/>
  <c r="Z41" i="9"/>
  <c r="Y41" i="9"/>
  <c r="X41" i="9"/>
  <c r="X45" i="9" s="1"/>
  <c r="G24" i="9"/>
  <c r="D24" i="9"/>
  <c r="B24" i="9"/>
  <c r="G21" i="9"/>
  <c r="D21" i="9"/>
  <c r="D33" i="9" s="1"/>
  <c r="B21" i="9"/>
  <c r="B33" i="9" s="1"/>
  <c r="G17" i="9"/>
  <c r="V47" i="9" s="1"/>
  <c r="D17" i="9"/>
  <c r="B17" i="9"/>
  <c r="F47" i="9" s="1"/>
  <c r="G16" i="9"/>
  <c r="V42" i="9" s="1"/>
  <c r="D16" i="9"/>
  <c r="K42" i="9" s="1"/>
  <c r="B16" i="9"/>
  <c r="D42" i="9" s="1"/>
  <c r="G15" i="9"/>
  <c r="V41" i="9" s="1"/>
  <c r="D15" i="9"/>
  <c r="B15" i="9"/>
  <c r="D41" i="9" s="1"/>
  <c r="D45" i="9" s="1"/>
  <c r="C40" i="3"/>
  <c r="Q40" i="3"/>
  <c r="B70" i="3"/>
  <c r="B69" i="3"/>
  <c r="AD40" i="3"/>
  <c r="Y48" i="3"/>
  <c r="Z48" i="3"/>
  <c r="AA48" i="3"/>
  <c r="AB48" i="3"/>
  <c r="AC48" i="3"/>
  <c r="X48" i="3"/>
  <c r="X40" i="3"/>
  <c r="X44" i="3" s="1"/>
  <c r="W48" i="3"/>
  <c r="W46" i="3"/>
  <c r="X46" i="3"/>
  <c r="S46" i="3"/>
  <c r="T46" i="3"/>
  <c r="U46" i="3"/>
  <c r="V46" i="3"/>
  <c r="R46" i="3"/>
  <c r="R41" i="3"/>
  <c r="Y46" i="3"/>
  <c r="W44" i="3"/>
  <c r="W41" i="3"/>
  <c r="W40" i="3"/>
  <c r="Z46" i="3"/>
  <c r="AA46" i="3"/>
  <c r="AB46" i="3"/>
  <c r="AC46" i="3"/>
  <c r="X41" i="3"/>
  <c r="S41" i="3"/>
  <c r="T41" i="3"/>
  <c r="U41" i="3"/>
  <c r="V41" i="3"/>
  <c r="Y41" i="3"/>
  <c r="Z41" i="3"/>
  <c r="AA41" i="3"/>
  <c r="AB41" i="3"/>
  <c r="AC41" i="3"/>
  <c r="Y40" i="3"/>
  <c r="Z40" i="3"/>
  <c r="AA40" i="3"/>
  <c r="AB40" i="3"/>
  <c r="AC40" i="3"/>
  <c r="R40" i="3"/>
  <c r="S40" i="3"/>
  <c r="T40" i="3"/>
  <c r="U40" i="3"/>
  <c r="V40" i="3"/>
  <c r="G67" i="3"/>
  <c r="F40" i="3"/>
  <c r="G24" i="3"/>
  <c r="G21" i="3"/>
  <c r="D21" i="3"/>
  <c r="G17" i="3"/>
  <c r="D17" i="3"/>
  <c r="L46" i="3" s="1"/>
  <c r="B21" i="3"/>
  <c r="B16" i="3"/>
  <c r="E41" i="3" s="1"/>
  <c r="G15" i="3"/>
  <c r="B15" i="3"/>
  <c r="E40" i="3" s="1"/>
  <c r="E44" i="3" s="1"/>
  <c r="B17" i="3"/>
  <c r="C46" i="3" s="1"/>
  <c r="C42" i="9" l="1"/>
  <c r="M46" i="3"/>
  <c r="M48" i="3"/>
  <c r="M65" i="3" s="1"/>
  <c r="E41" i="9"/>
  <c r="AB51" i="9"/>
  <c r="AB55" i="9" s="1"/>
  <c r="W41" i="9"/>
  <c r="R49" i="9"/>
  <c r="R69" i="9" s="1"/>
  <c r="D32" i="9"/>
  <c r="AC51" i="9"/>
  <c r="AC55" i="9" s="1"/>
  <c r="AC57" i="9" s="1"/>
  <c r="AC59" i="9" s="1"/>
  <c r="AC68" i="9" s="1"/>
  <c r="L42" i="9"/>
  <c r="C49" i="9"/>
  <c r="C69" i="9" s="1"/>
  <c r="M42" i="9"/>
  <c r="J47" i="9"/>
  <c r="G33" i="9"/>
  <c r="L47" i="9"/>
  <c r="W49" i="9"/>
  <c r="W69" i="9" s="1"/>
  <c r="Z45" i="9"/>
  <c r="Z51" i="9" s="1"/>
  <c r="Z55" i="9" s="1"/>
  <c r="Z57" i="9" s="1"/>
  <c r="Z59" i="9" s="1"/>
  <c r="Z68" i="9" s="1"/>
  <c r="M47" i="9"/>
  <c r="B32" i="9"/>
  <c r="AA45" i="9"/>
  <c r="AA51" i="9" s="1"/>
  <c r="AA55" i="9" s="1"/>
  <c r="AA57" i="9" s="1"/>
  <c r="AA59" i="9" s="1"/>
  <c r="AA68" i="9" s="1"/>
  <c r="G32" i="9"/>
  <c r="X51" i="9"/>
  <c r="X55" i="9" s="1"/>
  <c r="X57" i="9" s="1"/>
  <c r="X59" i="9" s="1"/>
  <c r="X68" i="9" s="1"/>
  <c r="R42" i="9"/>
  <c r="W42" i="9"/>
  <c r="Y45" i="9"/>
  <c r="Y51" i="9" s="1"/>
  <c r="Y55" i="9" s="1"/>
  <c r="Y57" i="9" s="1"/>
  <c r="Y59" i="9" s="1"/>
  <c r="Y68" i="9" s="1"/>
  <c r="K47" i="9"/>
  <c r="M41" i="9"/>
  <c r="V45" i="9"/>
  <c r="AB57" i="9"/>
  <c r="AB59" i="9" s="1"/>
  <c r="AB68" i="9" s="1"/>
  <c r="Q41" i="9"/>
  <c r="Q67" i="9" s="1"/>
  <c r="Q71" i="9" s="1"/>
  <c r="E42" i="9"/>
  <c r="E45" i="9" s="1"/>
  <c r="S42" i="9"/>
  <c r="C47" i="9"/>
  <c r="F49" i="9"/>
  <c r="F69" i="9" s="1"/>
  <c r="T49" i="9"/>
  <c r="T69" i="9" s="1"/>
  <c r="S49" i="9"/>
  <c r="S69" i="9" s="1"/>
  <c r="I41" i="9"/>
  <c r="I67" i="9" s="1"/>
  <c r="I71" i="9" s="1"/>
  <c r="R41" i="9"/>
  <c r="F42" i="9"/>
  <c r="T42" i="9"/>
  <c r="D47" i="9"/>
  <c r="R47" i="9"/>
  <c r="J49" i="9"/>
  <c r="J69" i="9" s="1"/>
  <c r="U49" i="9"/>
  <c r="U69" i="9" s="1"/>
  <c r="W47" i="9"/>
  <c r="D49" i="9"/>
  <c r="D69" i="9" s="1"/>
  <c r="F41" i="9"/>
  <c r="F45" i="9" s="1"/>
  <c r="E49" i="9"/>
  <c r="E69" i="9" s="1"/>
  <c r="J41" i="9"/>
  <c r="S41" i="9"/>
  <c r="J42" i="9"/>
  <c r="U42" i="9"/>
  <c r="E47" i="9"/>
  <c r="S47" i="9"/>
  <c r="K49" i="9"/>
  <c r="K69" i="9" s="1"/>
  <c r="V49" i="9"/>
  <c r="V69" i="9" s="1"/>
  <c r="H12" i="9"/>
  <c r="B41" i="9"/>
  <c r="B67" i="9" s="1"/>
  <c r="B71" i="9" s="1"/>
  <c r="K41" i="9"/>
  <c r="K45" i="9" s="1"/>
  <c r="T41" i="9"/>
  <c r="T47" i="9"/>
  <c r="L49" i="9"/>
  <c r="L69" i="9" s="1"/>
  <c r="C41" i="9"/>
  <c r="L41" i="9"/>
  <c r="U41" i="9"/>
  <c r="U47" i="9"/>
  <c r="M49" i="9"/>
  <c r="M69" i="9" s="1"/>
  <c r="F44" i="3"/>
  <c r="D40" i="3"/>
  <c r="E46" i="3"/>
  <c r="G40" i="3"/>
  <c r="D46" i="3"/>
  <c r="F41" i="3"/>
  <c r="F46" i="3"/>
  <c r="W62" i="9" l="1"/>
  <c r="R62" i="9"/>
  <c r="R53" i="9"/>
  <c r="S63" i="9"/>
  <c r="V63" i="9"/>
  <c r="R63" i="9"/>
  <c r="S53" i="9"/>
  <c r="U62" i="9"/>
  <c r="S62" i="9"/>
  <c r="T63" i="9" s="1"/>
  <c r="T62" i="9"/>
  <c r="V53" i="9" s="1"/>
  <c r="V62" i="9"/>
  <c r="C63" i="9"/>
  <c r="D62" i="9"/>
  <c r="C62" i="9"/>
  <c r="F53" i="9" s="1"/>
  <c r="F62" i="9"/>
  <c r="E62" i="9"/>
  <c r="C53" i="9"/>
  <c r="W45" i="9"/>
  <c r="W51" i="9" s="1"/>
  <c r="K62" i="9"/>
  <c r="M63" i="9" s="1"/>
  <c r="J53" i="9"/>
  <c r="J63" i="9"/>
  <c r="L62" i="9"/>
  <c r="M62" i="9"/>
  <c r="J62" i="9"/>
  <c r="K63" i="9" s="1"/>
  <c r="M45" i="9"/>
  <c r="U45" i="9"/>
  <c r="O41" i="9"/>
  <c r="L45" i="9"/>
  <c r="L51" i="9" s="1"/>
  <c r="L55" i="9" s="1"/>
  <c r="L57" i="9" s="1"/>
  <c r="E51" i="9"/>
  <c r="K51" i="9"/>
  <c r="K55" i="9" s="1"/>
  <c r="K57" i="9" s="1"/>
  <c r="K59" i="9" s="1"/>
  <c r="K68" i="9" s="1"/>
  <c r="K71" i="9" s="1"/>
  <c r="D51" i="9"/>
  <c r="S45" i="9"/>
  <c r="S51" i="9" s="1"/>
  <c r="S55" i="9" s="1"/>
  <c r="S57" i="9" s="1"/>
  <c r="S59" i="9" s="1"/>
  <c r="S68" i="9" s="1"/>
  <c r="S71" i="9" s="1"/>
  <c r="V51" i="9"/>
  <c r="F51" i="9"/>
  <c r="AD41" i="9"/>
  <c r="R45" i="9"/>
  <c r="R51" i="9" s="1"/>
  <c r="R55" i="9" s="1"/>
  <c r="M51" i="9"/>
  <c r="M55" i="9" s="1"/>
  <c r="U51" i="9"/>
  <c r="J45" i="9"/>
  <c r="J51" i="9" s="1"/>
  <c r="J55" i="9" s="1"/>
  <c r="C45" i="9"/>
  <c r="C51" i="9" s="1"/>
  <c r="G41" i="9"/>
  <c r="T45" i="9"/>
  <c r="T51" i="9" s="1"/>
  <c r="B40" i="3"/>
  <c r="B63" i="3" s="1"/>
  <c r="B67" i="3" s="1"/>
  <c r="C41" i="3"/>
  <c r="D24" i="3"/>
  <c r="B24" i="3"/>
  <c r="D16" i="3"/>
  <c r="G16" i="3"/>
  <c r="D15" i="3"/>
  <c r="U55" i="9" l="1"/>
  <c r="U57" i="9" s="1"/>
  <c r="U59" i="9" s="1"/>
  <c r="U68" i="9" s="1"/>
  <c r="U71" i="9" s="1"/>
  <c r="L63" i="9"/>
  <c r="E63" i="9"/>
  <c r="D53" i="9"/>
  <c r="D57" i="9" s="1"/>
  <c r="D59" i="9" s="1"/>
  <c r="D68" i="9" s="1"/>
  <c r="D71" i="9" s="1"/>
  <c r="E53" i="9"/>
  <c r="E57" i="9" s="1"/>
  <c r="E59" i="9" s="1"/>
  <c r="E68" i="9" s="1"/>
  <c r="E71" i="9" s="1"/>
  <c r="U53" i="9"/>
  <c r="W53" i="9"/>
  <c r="W55" i="9" s="1"/>
  <c r="W57" i="9" s="1"/>
  <c r="W59" i="9" s="1"/>
  <c r="W68" i="9" s="1"/>
  <c r="W71" i="9" s="1"/>
  <c r="W63" i="9"/>
  <c r="T55" i="9"/>
  <c r="F57" i="9"/>
  <c r="F68" i="9" s="1"/>
  <c r="F71" i="9" s="1"/>
  <c r="F63" i="9"/>
  <c r="U63" i="9"/>
  <c r="V55" i="9"/>
  <c r="D63" i="9"/>
  <c r="T53" i="9"/>
  <c r="C68" i="9"/>
  <c r="C71" i="9" s="1"/>
  <c r="J40" i="3"/>
  <c r="O40" i="3" s="1"/>
  <c r="L41" i="3"/>
  <c r="M41" i="3"/>
  <c r="L59" i="9"/>
  <c r="L68" i="9" s="1"/>
  <c r="L71" i="9" s="1"/>
  <c r="V57" i="9"/>
  <c r="V59" i="9" s="1"/>
  <c r="V68" i="9" s="1"/>
  <c r="V71" i="9" s="1"/>
  <c r="R57" i="9"/>
  <c r="R59" i="9" s="1"/>
  <c r="R68" i="9" s="1"/>
  <c r="R71" i="9" s="1"/>
  <c r="T57" i="9"/>
  <c r="T59" i="9" s="1"/>
  <c r="T68" i="9" s="1"/>
  <c r="T71" i="9" s="1"/>
  <c r="J57" i="9"/>
  <c r="J59" i="9" s="1"/>
  <c r="J68" i="9" s="1"/>
  <c r="J71" i="9" s="1"/>
  <c r="M57" i="9"/>
  <c r="M59" i="9" s="1"/>
  <c r="M68" i="9" s="1"/>
  <c r="M71" i="9" s="1"/>
  <c r="E48" i="3"/>
  <c r="F48" i="3"/>
  <c r="D48" i="3"/>
  <c r="H12" i="3"/>
  <c r="C48" i="3"/>
  <c r="C65" i="3" s="1"/>
  <c r="J46" i="3"/>
  <c r="K46" i="3"/>
  <c r="C44" i="3"/>
  <c r="X65" i="3"/>
  <c r="J41" i="3"/>
  <c r="D41" i="3"/>
  <c r="Q63" i="3"/>
  <c r="Q67" i="3" s="1"/>
  <c r="W65" i="3"/>
  <c r="S48" i="3"/>
  <c r="S65" i="3" s="1"/>
  <c r="K48" i="3"/>
  <c r="K65" i="3" s="1"/>
  <c r="L48" i="3"/>
  <c r="L65" i="3" s="1"/>
  <c r="U44" i="3"/>
  <c r="R48" i="3"/>
  <c r="R65" i="3" s="1"/>
  <c r="V48" i="3"/>
  <c r="V65" i="3" s="1"/>
  <c r="U48" i="3"/>
  <c r="U65" i="3" s="1"/>
  <c r="AB65" i="3"/>
  <c r="D65" i="3"/>
  <c r="L40" i="3"/>
  <c r="L44" i="3" s="1"/>
  <c r="I40" i="3"/>
  <c r="I63" i="3" s="1"/>
  <c r="I67" i="3" s="1"/>
  <c r="K41" i="3"/>
  <c r="J48" i="3"/>
  <c r="J65" i="3" s="1"/>
  <c r="Z65" i="3"/>
  <c r="T48" i="3"/>
  <c r="T65" i="3" s="1"/>
  <c r="AA65" i="3"/>
  <c r="K40" i="3"/>
  <c r="V44" i="3"/>
  <c r="Y65" i="3"/>
  <c r="AC65" i="3"/>
  <c r="M40" i="3"/>
  <c r="M44" i="3" s="1"/>
  <c r="M50" i="3" s="1"/>
  <c r="M54" i="3" s="1"/>
  <c r="M56" i="3" s="1"/>
  <c r="J44" i="3" l="1"/>
  <c r="B74" i="9"/>
  <c r="B73" i="9"/>
  <c r="G71" i="9"/>
  <c r="AD71" i="9"/>
  <c r="Q74" i="9"/>
  <c r="I74" i="9"/>
  <c r="O71" i="9"/>
  <c r="I73" i="9"/>
  <c r="Q69" i="3"/>
  <c r="Q70" i="3"/>
  <c r="AD67" i="3"/>
  <c r="E65" i="3"/>
  <c r="E50" i="3"/>
  <c r="E54" i="3" s="1"/>
  <c r="F65" i="3"/>
  <c r="F50" i="3"/>
  <c r="F54" i="3" s="1"/>
  <c r="D44" i="3"/>
  <c r="D50" i="3" s="1"/>
  <c r="D54" i="3" s="1"/>
  <c r="C50" i="3"/>
  <c r="C54" i="3" s="1"/>
  <c r="C56" i="3" s="1"/>
  <c r="AB44" i="3"/>
  <c r="AB50" i="3" s="1"/>
  <c r="AB54" i="3" s="1"/>
  <c r="T44" i="3"/>
  <c r="T50" i="3" s="1"/>
  <c r="T54" i="3" s="1"/>
  <c r="T56" i="3" s="1"/>
  <c r="T58" i="3" s="1"/>
  <c r="T64" i="3" s="1"/>
  <c r="T67" i="3" s="1"/>
  <c r="AA44" i="3"/>
  <c r="AA50" i="3" s="1"/>
  <c r="AA54" i="3" s="1"/>
  <c r="AC44" i="3"/>
  <c r="AC50" i="3" s="1"/>
  <c r="AC54" i="3" s="1"/>
  <c r="AC56" i="3" s="1"/>
  <c r="W50" i="3"/>
  <c r="W54" i="3" s="1"/>
  <c r="W56" i="3" s="1"/>
  <c r="W58" i="3" s="1"/>
  <c r="W64" i="3" s="1"/>
  <c r="W67" i="3" s="1"/>
  <c r="S44" i="3"/>
  <c r="S50" i="3" s="1"/>
  <c r="S54" i="3" s="1"/>
  <c r="K44" i="3"/>
  <c r="K50" i="3" s="1"/>
  <c r="K54" i="3" s="1"/>
  <c r="K56" i="3" s="1"/>
  <c r="K58" i="3" s="1"/>
  <c r="K64" i="3" s="1"/>
  <c r="K67" i="3" s="1"/>
  <c r="U50" i="3"/>
  <c r="U54" i="3" s="1"/>
  <c r="U56" i="3" s="1"/>
  <c r="U58" i="3" s="1"/>
  <c r="U64" i="3" s="1"/>
  <c r="U67" i="3" s="1"/>
  <c r="V50" i="3"/>
  <c r="V54" i="3" s="1"/>
  <c r="V56" i="3" s="1"/>
  <c r="V58" i="3" s="1"/>
  <c r="V64" i="3" s="1"/>
  <c r="V67" i="3" s="1"/>
  <c r="J50" i="3"/>
  <c r="J54" i="3" s="1"/>
  <c r="J56" i="3" s="1"/>
  <c r="L50" i="3"/>
  <c r="L54" i="3" s="1"/>
  <c r="Z44" i="3"/>
  <c r="Z50" i="3" s="1"/>
  <c r="Z54" i="3" s="1"/>
  <c r="R44" i="3"/>
  <c r="R50" i="3" s="1"/>
  <c r="R54" i="3" s="1"/>
  <c r="Y44" i="3"/>
  <c r="Y50" i="3" s="1"/>
  <c r="Y54" i="3" s="1"/>
  <c r="X50" i="3"/>
  <c r="X54" i="3" s="1"/>
  <c r="E56" i="3" l="1"/>
  <c r="E58" i="3" s="1"/>
  <c r="E64" i="3" s="1"/>
  <c r="E67" i="3" s="1"/>
  <c r="F56" i="3"/>
  <c r="F58" i="3" s="1"/>
  <c r="F64" i="3" s="1"/>
  <c r="F67" i="3" s="1"/>
  <c r="C58" i="3"/>
  <c r="C64" i="3" s="1"/>
  <c r="C67" i="3" s="1"/>
  <c r="AC58" i="3"/>
  <c r="AC64" i="3" s="1"/>
  <c r="AA56" i="3"/>
  <c r="AA58" i="3" s="1"/>
  <c r="AA64" i="3" s="1"/>
  <c r="Z56" i="3"/>
  <c r="Z58" i="3" s="1"/>
  <c r="Z64" i="3" s="1"/>
  <c r="S56" i="3"/>
  <c r="S58" i="3" s="1"/>
  <c r="S64" i="3" s="1"/>
  <c r="S67" i="3" s="1"/>
  <c r="D56" i="3"/>
  <c r="D58" i="3" s="1"/>
  <c r="D64" i="3" s="1"/>
  <c r="D67" i="3" s="1"/>
  <c r="L56" i="3"/>
  <c r="L58" i="3" s="1"/>
  <c r="L64" i="3" s="1"/>
  <c r="L67" i="3" s="1"/>
  <c r="J58" i="3"/>
  <c r="J64" i="3" s="1"/>
  <c r="J67" i="3" s="1"/>
  <c r="Y56" i="3"/>
  <c r="Y58" i="3" s="1"/>
  <c r="Y64" i="3" s="1"/>
  <c r="AB56" i="3"/>
  <c r="AB58" i="3" s="1"/>
  <c r="AB64" i="3" s="1"/>
  <c r="X56" i="3"/>
  <c r="X58" i="3" s="1"/>
  <c r="X64" i="3" s="1"/>
  <c r="M58" i="3"/>
  <c r="R56" i="3"/>
  <c r="R58" i="3" s="1"/>
  <c r="R64" i="3" s="1"/>
  <c r="R67" i="3" s="1"/>
  <c r="M67" i="3" l="1"/>
  <c r="O67" i="3" s="1"/>
  <c r="M64" i="3"/>
  <c r="I70" i="3"/>
  <c r="I69" i="3" l="1"/>
</calcChain>
</file>

<file path=xl/sharedStrings.xml><?xml version="1.0" encoding="utf-8"?>
<sst xmlns="http://schemas.openxmlformats.org/spreadsheetml/2006/main" count="270" uniqueCount="72">
  <si>
    <t>INGRESOS POR VENTAS</t>
  </si>
  <si>
    <t>COSTOS VARIABLES DE PRODUCCION</t>
  </si>
  <si>
    <t>GASTOS DE VENTAS</t>
  </si>
  <si>
    <t>GASTOS ADMINISTRATIVOS</t>
  </si>
  <si>
    <t>Datos básicos</t>
  </si>
  <si>
    <t>INVERSION</t>
  </si>
  <si>
    <t>% FINANCIADO CON RECURSOS PROPIOS</t>
  </si>
  <si>
    <t>% FINANCIADO CON PRESTAMO</t>
  </si>
  <si>
    <t>DURACION DEL PROYECTO</t>
  </si>
  <si>
    <t>VALOR DE SALVAMENTO</t>
  </si>
  <si>
    <t>% INCREMENTO ANUAL EN VENTAS</t>
  </si>
  <si>
    <t>% INCREMENTO ANUAL GASTO DE VENTAS</t>
  </si>
  <si>
    <t>% INCREMENTO ANUAL COSTOS VARIABLES</t>
  </si>
  <si>
    <t>% INCREMENTO GTOS. ADMINISTRATIVOS</t>
  </si>
  <si>
    <t>TASA IMPOSITIVA</t>
  </si>
  <si>
    <t>INTERES DE OPORTUNIDAD</t>
  </si>
  <si>
    <t>MATRIZ DE RESULTADOS</t>
  </si>
  <si>
    <t>ESTADO DE RESULTADOS</t>
  </si>
  <si>
    <t>PERIODO</t>
  </si>
  <si>
    <t xml:space="preserve">     0</t>
  </si>
  <si>
    <t xml:space="preserve">     1</t>
  </si>
  <si>
    <t xml:space="preserve">     2</t>
  </si>
  <si>
    <t xml:space="preserve">     3</t>
  </si>
  <si>
    <t xml:space="preserve">     4</t>
  </si>
  <si>
    <t xml:space="preserve">     5</t>
  </si>
  <si>
    <t>INGRESO POR VENTAS</t>
  </si>
  <si>
    <t>UTILIDAD BRUTA</t>
  </si>
  <si>
    <t>UTILIDAD OPERACIONAL</t>
  </si>
  <si>
    <t>GASTOS FINANCIEROS</t>
  </si>
  <si>
    <t>UTILIDAD ANTES DE IMPUESTOS</t>
  </si>
  <si>
    <t>IMPUESTOS</t>
  </si>
  <si>
    <t>UTILIDAD NETA FINAL</t>
  </si>
  <si>
    <t>FLUJO DE CAJA</t>
  </si>
  <si>
    <t>FLUJO NETO DE FONDOS</t>
  </si>
  <si>
    <t xml:space="preserve">      VPN</t>
  </si>
  <si>
    <t xml:space="preserve">      TIR</t>
  </si>
  <si>
    <t>PRESTAMO</t>
  </si>
  <si>
    <t>AMORTIZACION</t>
  </si>
  <si>
    <t>INTERESES</t>
  </si>
  <si>
    <t>DEPRECIACION</t>
  </si>
  <si>
    <t>COSTOS FIJOS DE PRODUCCION</t>
  </si>
  <si>
    <t>costo unitario equipo</t>
  </si>
  <si>
    <t>costo mantenimiento semestral</t>
  </si>
  <si>
    <t>costo insumos parqa cambio despues decada uso</t>
  </si>
  <si>
    <t>numero de maquinas</t>
  </si>
  <si>
    <t>vida utlil (años)</t>
  </si>
  <si>
    <t xml:space="preserve"> </t>
  </si>
  <si>
    <t xml:space="preserve">costo mantenimiento despues de cada uso </t>
  </si>
  <si>
    <t>costo de personal de acompañamiento por sesion</t>
  </si>
  <si>
    <t>COSTOS FIJOS DE MANTENIMIENTO</t>
  </si>
  <si>
    <t>Datos para el primer año para el total de M</t>
  </si>
  <si>
    <t>VPN</t>
  </si>
  <si>
    <t>TIR</t>
  </si>
  <si>
    <t>si la TIR&gt;TIO, es factible</t>
  </si>
  <si>
    <t>equipo computo1</t>
  </si>
  <si>
    <t>equipo computo 2</t>
  </si>
  <si>
    <t>equipo computo 3</t>
  </si>
  <si>
    <t>tasa de proyectos ML a atender por año/equipo</t>
  </si>
  <si>
    <t>ingreso a la empresa por proyecto</t>
  </si>
  <si>
    <t>EQUIPO COMPUTO 3</t>
  </si>
  <si>
    <t>EQUIPO COMPUTO 1</t>
  </si>
  <si>
    <t>EQUPO COMPUTO 2</t>
  </si>
  <si>
    <t>FINANCIAMIENTO CON PRESTAMO</t>
  </si>
  <si>
    <t>FINANCIAMIENTO CON RECURSOS PROPIOS</t>
  </si>
  <si>
    <t>WACC</t>
  </si>
  <si>
    <t>INTERES FINANCIAMIENTO</t>
  </si>
  <si>
    <t>si VPN&gt;0 es factible</t>
  </si>
  <si>
    <t>C1</t>
  </si>
  <si>
    <t>C2</t>
  </si>
  <si>
    <t>C3</t>
  </si>
  <si>
    <t>De acuerdo a la VPN esto nos dice que no es rentable
comprar el equipo de computo C3 y si es mejor comprar el C2</t>
  </si>
  <si>
    <t>Deacuerdo a la TIR, esto nos incique que el proyecto
que generaria mayor rentabilidad seria el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</si>
</sst>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_ &quot;$&quot;\ * #,##0_ ;_ &quot;$&quot;\ * \-#,##0_ ;_ &quot;$&quot;\ * &quot;-&quot;_ ;_ @_ "/>
    <numFmt numFmtId="172" formatCode="0.000%"/>
  </numFmts>
  <fonts count="8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9" fontId="4" fillId="0" borderId="0" xfId="0" applyNumberFormat="1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2" borderId="1" xfId="0" applyNumberFormat="1" applyFill="1" applyBorder="1"/>
    <xf numFmtId="0" fontId="1" fillId="0" borderId="1" xfId="0" applyFont="1" applyBorder="1" applyAlignment="1">
      <alignment horizontal="left"/>
    </xf>
    <xf numFmtId="10" fontId="0" fillId="2" borderId="1" xfId="0" applyNumberFormat="1" applyFill="1" applyBorder="1"/>
    <xf numFmtId="0" fontId="0" fillId="0" borderId="1" xfId="0" applyBorder="1"/>
    <xf numFmtId="165" fontId="0" fillId="0" borderId="1" xfId="1" applyFont="1" applyBorder="1"/>
    <xf numFmtId="165" fontId="0" fillId="0" borderId="0" xfId="1" applyFont="1"/>
    <xf numFmtId="165" fontId="0" fillId="0" borderId="1" xfId="1" applyFont="1" applyBorder="1" applyProtection="1"/>
    <xf numFmtId="165" fontId="6" fillId="2" borderId="1" xfId="1" applyFont="1" applyFill="1" applyBorder="1" applyProtection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1" applyFont="1" applyBorder="1"/>
    <xf numFmtId="165" fontId="0" fillId="0" borderId="0" xfId="1" applyFont="1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2" fontId="4" fillId="0" borderId="0" xfId="0" applyNumberFormat="1" applyFont="1"/>
    <xf numFmtId="2" fontId="2" fillId="0" borderId="0" xfId="0" applyNumberFormat="1" applyFont="1"/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72" fontId="0" fillId="0" borderId="1" xfId="0" applyNumberFormat="1" applyBorder="1"/>
    <xf numFmtId="0" fontId="2" fillId="0" borderId="2" xfId="0" applyFont="1" applyBorder="1" applyAlignment="1">
      <alignment horizontal="center"/>
    </xf>
    <xf numFmtId="165" fontId="2" fillId="2" borderId="1" xfId="0" applyNumberFormat="1" applyFont="1" applyFill="1" applyBorder="1"/>
    <xf numFmtId="165" fontId="2" fillId="0" borderId="0" xfId="0" applyNumberFormat="1" applyFont="1"/>
    <xf numFmtId="0" fontId="2" fillId="0" borderId="0" xfId="0" applyFont="1" applyAlignment="1">
      <alignment wrapText="1"/>
    </xf>
  </cellXfs>
  <cellStyles count="2">
    <cellStyle name="Moneda [0]" xfId="1" builtinId="7"/>
    <cellStyle name="Normal" xfId="0" builtinId="0"/>
  </cellStyles>
  <dxfs count="0"/>
  <tableStyles count="1" defaultTableStyle="TableStyleMedium2" defaultPivotStyle="PivotStyleLight16">
    <tableStyle name="Invisible" pivot="0" table="0" count="0" xr9:uid="{219E7E05-39B9-47A7-84D7-40E9F1FA66D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81"/>
  <sheetViews>
    <sheetView topLeftCell="A40" zoomScale="85" zoomScaleNormal="85" workbookViewId="0">
      <selection activeCell="H74" sqref="H74"/>
    </sheetView>
  </sheetViews>
  <sheetFormatPr baseColWidth="10" defaultRowHeight="12.75" x14ac:dyDescent="0.2"/>
  <cols>
    <col min="1" max="1" width="41.7109375" customWidth="1"/>
    <col min="7" max="7" width="18.28515625" customWidth="1"/>
    <col min="8" max="8" width="35.28515625" customWidth="1"/>
    <col min="15" max="15" width="11.85546875" bestFit="1" customWidth="1"/>
    <col min="16" max="16" width="35.7109375" customWidth="1"/>
    <col min="17" max="17" width="15.28515625" customWidth="1"/>
    <col min="30" max="30" width="11.85546875" bestFit="1" customWidth="1"/>
  </cols>
  <sheetData>
    <row r="2" spans="1:8" x14ac:dyDescent="0.2">
      <c r="B2" s="24" t="s">
        <v>54</v>
      </c>
      <c r="C2" s="24"/>
      <c r="D2" s="24" t="s">
        <v>55</v>
      </c>
      <c r="E2" s="24"/>
      <c r="F2" s="20"/>
      <c r="G2" s="25" t="s">
        <v>56</v>
      </c>
      <c r="H2" s="25"/>
    </row>
    <row r="4" spans="1:8" x14ac:dyDescent="0.2">
      <c r="A4" t="s">
        <v>41</v>
      </c>
      <c r="B4">
        <v>3143</v>
      </c>
      <c r="D4">
        <v>3443</v>
      </c>
      <c r="G4">
        <v>4123</v>
      </c>
    </row>
    <row r="5" spans="1:8" x14ac:dyDescent="0.2">
      <c r="A5" t="s">
        <v>42</v>
      </c>
      <c r="B5">
        <v>10</v>
      </c>
      <c r="D5">
        <v>13</v>
      </c>
      <c r="G5">
        <v>13</v>
      </c>
    </row>
    <row r="6" spans="1:8" x14ac:dyDescent="0.2">
      <c r="A6" t="s">
        <v>47</v>
      </c>
      <c r="B6">
        <v>0</v>
      </c>
      <c r="D6">
        <v>0</v>
      </c>
      <c r="G6">
        <v>0</v>
      </c>
    </row>
    <row r="7" spans="1:8" x14ac:dyDescent="0.2">
      <c r="A7" t="s">
        <v>45</v>
      </c>
      <c r="B7">
        <v>4</v>
      </c>
      <c r="D7">
        <v>4</v>
      </c>
      <c r="G7">
        <v>6</v>
      </c>
    </row>
    <row r="8" spans="1:8" x14ac:dyDescent="0.2">
      <c r="A8" t="s">
        <v>57</v>
      </c>
      <c r="B8">
        <v>12</v>
      </c>
      <c r="D8">
        <v>15</v>
      </c>
      <c r="G8">
        <v>17</v>
      </c>
    </row>
    <row r="9" spans="1:8" x14ac:dyDescent="0.2">
      <c r="A9" t="s">
        <v>58</v>
      </c>
      <c r="B9">
        <v>3000</v>
      </c>
      <c r="D9">
        <v>3000</v>
      </c>
      <c r="G9">
        <v>3000</v>
      </c>
    </row>
    <row r="10" spans="1:8" x14ac:dyDescent="0.2">
      <c r="A10" t="s">
        <v>43</v>
      </c>
      <c r="B10">
        <v>0</v>
      </c>
      <c r="D10">
        <v>0</v>
      </c>
      <c r="G10">
        <v>0</v>
      </c>
    </row>
    <row r="11" spans="1:8" x14ac:dyDescent="0.2">
      <c r="A11" t="s">
        <v>48</v>
      </c>
      <c r="B11">
        <v>1936</v>
      </c>
      <c r="D11">
        <v>1936</v>
      </c>
      <c r="G11">
        <v>1936</v>
      </c>
      <c r="H11" t="s">
        <v>39</v>
      </c>
    </row>
    <row r="12" spans="1:8" x14ac:dyDescent="0.2">
      <c r="A12" t="s">
        <v>44</v>
      </c>
      <c r="B12">
        <v>6</v>
      </c>
      <c r="D12">
        <v>5</v>
      </c>
      <c r="G12">
        <v>4</v>
      </c>
      <c r="H12" s="2">
        <f>B21/B24</f>
        <v>4714.5</v>
      </c>
    </row>
    <row r="14" spans="1:8" x14ac:dyDescent="0.2">
      <c r="A14" s="3" t="s">
        <v>50</v>
      </c>
    </row>
    <row r="15" spans="1:8" x14ac:dyDescent="0.2">
      <c r="A15" s="1" t="s">
        <v>0</v>
      </c>
      <c r="B15" s="2">
        <f>B8*B9*B12</f>
        <v>216000</v>
      </c>
      <c r="C15" s="2"/>
      <c r="D15" s="2">
        <f t="shared" ref="D15" si="0">D8*D9*D12</f>
        <v>225000</v>
      </c>
      <c r="E15" s="2"/>
      <c r="F15" s="2"/>
      <c r="G15" s="2">
        <f>G8*G9*G12</f>
        <v>204000</v>
      </c>
    </row>
    <row r="16" spans="1:8" x14ac:dyDescent="0.2">
      <c r="A16" s="1" t="s">
        <v>49</v>
      </c>
      <c r="B16" s="2">
        <f>(B5*2+B6*B8+B10*B8)*B12</f>
        <v>120</v>
      </c>
      <c r="C16" s="2"/>
      <c r="D16" s="2">
        <f t="shared" ref="D16:G16" si="1">(D5*2+D6*D8+D10*D8)*D12</f>
        <v>130</v>
      </c>
      <c r="E16" s="2"/>
      <c r="F16" s="2"/>
      <c r="G16" s="2">
        <f t="shared" si="1"/>
        <v>104</v>
      </c>
    </row>
    <row r="17" spans="1:7" x14ac:dyDescent="0.2">
      <c r="A17" s="1" t="s">
        <v>3</v>
      </c>
      <c r="B17" s="2">
        <f>B11*B8*B12</f>
        <v>139392</v>
      </c>
      <c r="C17" s="2"/>
      <c r="D17" s="2">
        <f>D11*D8*D12</f>
        <v>145200</v>
      </c>
      <c r="E17" s="2"/>
      <c r="F17" s="2"/>
      <c r="G17" s="2">
        <f>G11*G8*G12</f>
        <v>131648</v>
      </c>
    </row>
    <row r="18" spans="1:7" x14ac:dyDescent="0.2">
      <c r="D18" t="s">
        <v>46</v>
      </c>
    </row>
    <row r="19" spans="1:7" x14ac:dyDescent="0.2">
      <c r="A19" s="3" t="s">
        <v>4</v>
      </c>
      <c r="B19" s="2"/>
    </row>
    <row r="20" spans="1:7" x14ac:dyDescent="0.2">
      <c r="B20" s="2"/>
    </row>
    <row r="21" spans="1:7" x14ac:dyDescent="0.2">
      <c r="A21" s="1" t="s">
        <v>5</v>
      </c>
      <c r="B21" s="2">
        <f>B4*B12</f>
        <v>18858</v>
      </c>
      <c r="C21" s="2"/>
      <c r="D21" s="2">
        <f>D4*D12</f>
        <v>17215</v>
      </c>
      <c r="E21" s="2"/>
      <c r="F21" s="2"/>
      <c r="G21" s="2">
        <f>G4*G12</f>
        <v>16492</v>
      </c>
    </row>
    <row r="22" spans="1:7" x14ac:dyDescent="0.2">
      <c r="A22" s="1" t="s">
        <v>6</v>
      </c>
      <c r="B22" s="6">
        <v>1</v>
      </c>
      <c r="D22" s="6">
        <v>1</v>
      </c>
      <c r="G22" s="6">
        <v>1</v>
      </c>
    </row>
    <row r="23" spans="1:7" x14ac:dyDescent="0.2">
      <c r="A23" s="1" t="s">
        <v>7</v>
      </c>
      <c r="B23" s="6">
        <v>0</v>
      </c>
      <c r="D23" s="6">
        <v>0</v>
      </c>
      <c r="G23" s="6">
        <v>0</v>
      </c>
    </row>
    <row r="24" spans="1:7" x14ac:dyDescent="0.2">
      <c r="A24" s="1" t="s">
        <v>8</v>
      </c>
      <c r="B24" s="7">
        <f>B7</f>
        <v>4</v>
      </c>
      <c r="C24" s="7"/>
      <c r="D24" s="7">
        <f t="shared" ref="D24" si="2">D7</f>
        <v>4</v>
      </c>
      <c r="E24" s="7"/>
      <c r="F24" s="7"/>
      <c r="G24" s="7">
        <f>G7</f>
        <v>6</v>
      </c>
    </row>
    <row r="25" spans="1:7" x14ac:dyDescent="0.2">
      <c r="A25" s="1" t="s">
        <v>9</v>
      </c>
      <c r="B25" s="5">
        <v>0</v>
      </c>
      <c r="D25" s="5">
        <v>0</v>
      </c>
      <c r="G25" s="5">
        <v>0</v>
      </c>
    </row>
    <row r="26" spans="1:7" x14ac:dyDescent="0.2">
      <c r="A26" s="1" t="s">
        <v>10</v>
      </c>
      <c r="B26" s="6">
        <v>0</v>
      </c>
      <c r="D26" s="6">
        <v>0</v>
      </c>
      <c r="G26" s="6">
        <v>0</v>
      </c>
    </row>
    <row r="27" spans="1:7" x14ac:dyDescent="0.2">
      <c r="A27" s="1" t="s">
        <v>11</v>
      </c>
      <c r="B27" s="6">
        <v>0</v>
      </c>
      <c r="D27" s="6">
        <v>0</v>
      </c>
      <c r="G27" s="6">
        <v>0</v>
      </c>
    </row>
    <row r="28" spans="1:7" x14ac:dyDescent="0.2">
      <c r="A28" s="1" t="s">
        <v>12</v>
      </c>
      <c r="B28" s="6">
        <v>0</v>
      </c>
      <c r="D28" s="6">
        <v>0</v>
      </c>
      <c r="G28" s="6">
        <v>0</v>
      </c>
    </row>
    <row r="29" spans="1:7" x14ac:dyDescent="0.2">
      <c r="A29" s="1" t="s">
        <v>13</v>
      </c>
      <c r="B29" s="6">
        <v>0</v>
      </c>
      <c r="D29" s="6">
        <v>0</v>
      </c>
      <c r="G29" s="6">
        <v>0</v>
      </c>
    </row>
    <row r="30" spans="1:7" x14ac:dyDescent="0.2">
      <c r="A30" s="1" t="s">
        <v>14</v>
      </c>
      <c r="B30" s="8">
        <v>0.4</v>
      </c>
      <c r="D30" s="8">
        <v>0.4</v>
      </c>
      <c r="G30" s="8">
        <v>0.4</v>
      </c>
    </row>
    <row r="31" spans="1:7" x14ac:dyDescent="0.2">
      <c r="A31" s="1" t="s">
        <v>15</v>
      </c>
      <c r="B31" s="8">
        <v>0.1</v>
      </c>
      <c r="C31" s="8"/>
      <c r="D31" s="8">
        <v>0.1</v>
      </c>
      <c r="E31" s="8"/>
      <c r="F31" s="8"/>
      <c r="G31" s="8">
        <v>0.1</v>
      </c>
    </row>
    <row r="34" spans="1:30" ht="15.75" x14ac:dyDescent="0.25">
      <c r="A34" s="4" t="s">
        <v>16</v>
      </c>
      <c r="B34" s="24" t="s">
        <v>60</v>
      </c>
      <c r="C34" s="24"/>
      <c r="D34" s="24"/>
      <c r="H34" s="4" t="s">
        <v>16</v>
      </c>
      <c r="K34" s="20" t="s">
        <v>61</v>
      </c>
      <c r="L34" s="20"/>
      <c r="M34" s="20"/>
      <c r="N34" s="20"/>
      <c r="P34" s="4" t="s">
        <v>16</v>
      </c>
      <c r="S34" s="24" t="s">
        <v>59</v>
      </c>
      <c r="T34" s="24"/>
      <c r="U34" s="24"/>
    </row>
    <row r="36" spans="1:30" x14ac:dyDescent="0.2">
      <c r="A36" s="3" t="s">
        <v>17</v>
      </c>
      <c r="H36" s="3" t="s">
        <v>17</v>
      </c>
      <c r="P36" s="3" t="s">
        <v>17</v>
      </c>
    </row>
    <row r="38" spans="1:30" x14ac:dyDescent="0.2">
      <c r="A38" s="10" t="s">
        <v>18</v>
      </c>
      <c r="B38" s="11" t="s">
        <v>19</v>
      </c>
      <c r="C38" s="11" t="s">
        <v>20</v>
      </c>
      <c r="D38" s="11" t="s">
        <v>21</v>
      </c>
      <c r="E38" s="11" t="s">
        <v>22</v>
      </c>
      <c r="F38" s="11" t="s">
        <v>23</v>
      </c>
      <c r="H38" s="10" t="s">
        <v>18</v>
      </c>
      <c r="I38" s="11" t="s">
        <v>19</v>
      </c>
      <c r="J38" s="11" t="s">
        <v>20</v>
      </c>
      <c r="K38" s="11" t="s">
        <v>21</v>
      </c>
      <c r="L38" s="11" t="s">
        <v>22</v>
      </c>
      <c r="M38" s="11" t="s">
        <v>23</v>
      </c>
      <c r="N38" s="26"/>
      <c r="P38" s="10" t="s">
        <v>18</v>
      </c>
      <c r="Q38" s="11" t="s">
        <v>19</v>
      </c>
      <c r="R38" s="11" t="s">
        <v>20</v>
      </c>
      <c r="S38" s="11" t="s">
        <v>21</v>
      </c>
      <c r="T38" s="11" t="s">
        <v>22</v>
      </c>
      <c r="U38" s="11" t="s">
        <v>23</v>
      </c>
      <c r="V38" s="11" t="s">
        <v>24</v>
      </c>
      <c r="W38" s="11">
        <v>6</v>
      </c>
      <c r="X38" s="11">
        <v>7</v>
      </c>
      <c r="Y38" s="11">
        <v>8</v>
      </c>
      <c r="Z38" s="11">
        <v>9</v>
      </c>
      <c r="AA38" s="11">
        <v>10</v>
      </c>
      <c r="AB38" s="11">
        <v>11</v>
      </c>
      <c r="AC38" s="11">
        <v>12</v>
      </c>
    </row>
    <row r="40" spans="1:30" x14ac:dyDescent="0.2">
      <c r="A40" s="10" t="s">
        <v>25</v>
      </c>
      <c r="B40" s="16">
        <f>-B21</f>
        <v>-18858</v>
      </c>
      <c r="C40" s="18">
        <f>$B$15</f>
        <v>216000</v>
      </c>
      <c r="D40" s="18">
        <f>$B$15</f>
        <v>216000</v>
      </c>
      <c r="E40" s="18">
        <f>$B$15</f>
        <v>216000</v>
      </c>
      <c r="F40" s="18">
        <f>$B$15</f>
        <v>216000</v>
      </c>
      <c r="G40" s="2">
        <f>SUM(C40:F40)</f>
        <v>864000</v>
      </c>
      <c r="H40" s="10" t="s">
        <v>25</v>
      </c>
      <c r="I40" s="16">
        <f>-D21</f>
        <v>-17215</v>
      </c>
      <c r="J40" s="18">
        <f>$D$15</f>
        <v>225000</v>
      </c>
      <c r="K40" s="18">
        <f t="shared" ref="K40:N40" si="3">$D$15</f>
        <v>225000</v>
      </c>
      <c r="L40" s="18">
        <f t="shared" si="3"/>
        <v>225000</v>
      </c>
      <c r="M40" s="18">
        <f t="shared" si="3"/>
        <v>225000</v>
      </c>
      <c r="N40" s="18"/>
      <c r="O40" s="2">
        <f>SUM(J40:N40)</f>
        <v>900000</v>
      </c>
      <c r="P40" s="10" t="s">
        <v>25</v>
      </c>
      <c r="Q40" s="16">
        <f>-IF(OR(Q38&gt;$G$7,Q38&lt;0),$G$15,0)</f>
        <v>-204000</v>
      </c>
      <c r="R40" s="16">
        <f t="shared" ref="R40:AC40" si="4">IF(OR(R38&gt;$G$7,R38&lt;0),$G$15,0)</f>
        <v>204000</v>
      </c>
      <c r="S40" s="16">
        <f t="shared" si="4"/>
        <v>204000</v>
      </c>
      <c r="T40" s="16">
        <f t="shared" si="4"/>
        <v>204000</v>
      </c>
      <c r="U40" s="16">
        <f t="shared" si="4"/>
        <v>204000</v>
      </c>
      <c r="V40" s="16">
        <f t="shared" si="4"/>
        <v>204000</v>
      </c>
      <c r="W40" s="16">
        <f>IF(OR(W38&gt;$G$7,W38&lt;0),0,$G$15)</f>
        <v>204000</v>
      </c>
      <c r="X40" s="16">
        <f>IF(OR(X38&gt;$G$7,X38&lt;0),0,$G$15)</f>
        <v>0</v>
      </c>
      <c r="Y40" s="16">
        <f t="shared" ref="Y40:AC40" si="5">IF(OR(Y38&gt;$G$7,Y38&lt;0),0,$G$15)</f>
        <v>0</v>
      </c>
      <c r="Z40" s="16">
        <f t="shared" si="5"/>
        <v>0</v>
      </c>
      <c r="AA40" s="16">
        <f t="shared" si="5"/>
        <v>0</v>
      </c>
      <c r="AB40" s="16">
        <f t="shared" si="5"/>
        <v>0</v>
      </c>
      <c r="AC40" s="16">
        <f t="shared" si="5"/>
        <v>0</v>
      </c>
      <c r="AD40" s="2">
        <f>SUM(R40:AC40)</f>
        <v>1224000</v>
      </c>
    </row>
    <row r="41" spans="1:30" x14ac:dyDescent="0.2">
      <c r="A41" s="1" t="s">
        <v>49</v>
      </c>
      <c r="B41" s="16"/>
      <c r="C41" s="18">
        <f>$B$16</f>
        <v>120</v>
      </c>
      <c r="D41" s="18">
        <f t="shared" ref="D41" si="6">$B$16</f>
        <v>120</v>
      </c>
      <c r="E41" s="18">
        <f>$B$16</f>
        <v>120</v>
      </c>
      <c r="F41" s="18">
        <f>$B$16</f>
        <v>120</v>
      </c>
      <c r="H41" s="10" t="s">
        <v>40</v>
      </c>
      <c r="I41" s="16"/>
      <c r="J41" s="18">
        <f>$D$16</f>
        <v>130</v>
      </c>
      <c r="K41" s="18">
        <f t="shared" ref="K41:N41" si="7">$D$16</f>
        <v>130</v>
      </c>
      <c r="L41" s="18">
        <f t="shared" si="7"/>
        <v>130</v>
      </c>
      <c r="M41" s="18">
        <f>$D$16</f>
        <v>130</v>
      </c>
      <c r="N41" s="18"/>
      <c r="P41" s="10" t="s">
        <v>40</v>
      </c>
      <c r="Q41" s="18"/>
      <c r="R41" s="18">
        <f>IF(OR(R38&gt;$G$7,R38&lt;0),$G$16,0)</f>
        <v>104</v>
      </c>
      <c r="S41" s="18">
        <f>IF(OR(X38&gt;$G$7,X38&lt;0),$G$16,0)</f>
        <v>104</v>
      </c>
      <c r="T41" s="18">
        <f t="shared" ref="T41:W41" si="8">IF(OR(Y38&gt;$G$7,Y38&lt;0),$G$16,0)</f>
        <v>104</v>
      </c>
      <c r="U41" s="18">
        <f t="shared" si="8"/>
        <v>104</v>
      </c>
      <c r="V41" s="18">
        <f t="shared" si="8"/>
        <v>104</v>
      </c>
      <c r="W41" s="18">
        <f>IF(OR(AB38&gt;$G$7,AB38&lt;0),$G$16,0)</f>
        <v>104</v>
      </c>
      <c r="X41" s="16">
        <f>IF(OR(X38&gt;$G$7,X38&lt;0),0,$G$16)</f>
        <v>0</v>
      </c>
      <c r="Y41" s="16">
        <f t="shared" ref="Y41:AC41" si="9">IF(OR(Y38&gt;$G$7,Y38&lt;0),0,$G$16)</f>
        <v>0</v>
      </c>
      <c r="Z41" s="16">
        <f t="shared" si="9"/>
        <v>0</v>
      </c>
      <c r="AA41" s="16">
        <f t="shared" si="9"/>
        <v>0</v>
      </c>
      <c r="AB41" s="16">
        <f t="shared" si="9"/>
        <v>0</v>
      </c>
      <c r="AC41" s="16">
        <f t="shared" si="9"/>
        <v>0</v>
      </c>
    </row>
    <row r="42" spans="1:30" x14ac:dyDescent="0.2">
      <c r="A42" s="10" t="s">
        <v>1</v>
      </c>
      <c r="B42" s="16">
        <v>0</v>
      </c>
      <c r="C42" s="18">
        <v>0</v>
      </c>
      <c r="D42" s="18">
        <v>0</v>
      </c>
      <c r="E42" s="18">
        <v>0</v>
      </c>
      <c r="F42" s="18">
        <v>0</v>
      </c>
      <c r="H42" s="10" t="s">
        <v>1</v>
      </c>
      <c r="I42" s="16">
        <v>0</v>
      </c>
      <c r="J42" s="18">
        <v>0</v>
      </c>
      <c r="K42" s="18">
        <v>0</v>
      </c>
      <c r="L42" s="18">
        <v>0</v>
      </c>
      <c r="M42" s="18">
        <v>0</v>
      </c>
      <c r="N42" s="18"/>
      <c r="P42" s="10" t="s">
        <v>1</v>
      </c>
      <c r="Q42" s="16">
        <v>0</v>
      </c>
      <c r="R42" s="18">
        <v>0</v>
      </c>
      <c r="S42" s="18">
        <v>0</v>
      </c>
      <c r="T42" s="18">
        <v>0</v>
      </c>
      <c r="U42" s="16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6">
        <v>0</v>
      </c>
      <c r="AC42" s="18">
        <v>0</v>
      </c>
    </row>
    <row r="43" spans="1:30" x14ac:dyDescent="0.2">
      <c r="B43" s="17"/>
      <c r="C43" s="17"/>
      <c r="D43" s="17"/>
      <c r="E43" s="17"/>
      <c r="F43" s="17"/>
      <c r="I43" s="17"/>
      <c r="J43" s="17"/>
      <c r="K43" s="17"/>
      <c r="L43" s="17"/>
      <c r="M43" s="17"/>
      <c r="N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30" x14ac:dyDescent="0.2">
      <c r="A44" s="10" t="s">
        <v>26</v>
      </c>
      <c r="B44" s="16"/>
      <c r="C44" s="18">
        <f>C40-C41-C42</f>
        <v>215880</v>
      </c>
      <c r="D44" s="18">
        <f t="shared" ref="D44" si="10">D40-D41-D42</f>
        <v>215880</v>
      </c>
      <c r="E44" s="18">
        <f>E40-E41-E42</f>
        <v>215880</v>
      </c>
      <c r="F44" s="18">
        <f>F40-F41-F42</f>
        <v>215880</v>
      </c>
      <c r="H44" s="10" t="s">
        <v>26</v>
      </c>
      <c r="I44" s="16"/>
      <c r="J44" s="18">
        <f>J40-J41-J42</f>
        <v>224870</v>
      </c>
      <c r="K44" s="18">
        <f t="shared" ref="K44:M44" si="11">K40-K41-K42</f>
        <v>224870</v>
      </c>
      <c r="L44" s="18">
        <f t="shared" si="11"/>
        <v>224870</v>
      </c>
      <c r="M44" s="18">
        <f>M40-M41-M42</f>
        <v>224870</v>
      </c>
      <c r="N44" s="18"/>
      <c r="P44" s="10" t="s">
        <v>26</v>
      </c>
      <c r="Q44" s="16"/>
      <c r="R44" s="18">
        <f>R40-R41-R42</f>
        <v>203896</v>
      </c>
      <c r="S44" s="18">
        <f t="shared" ref="S44:AC44" si="12">S40-S41-S42</f>
        <v>203896</v>
      </c>
      <c r="T44" s="18">
        <f t="shared" si="12"/>
        <v>203896</v>
      </c>
      <c r="U44" s="18">
        <f t="shared" si="12"/>
        <v>203896</v>
      </c>
      <c r="V44" s="18">
        <f t="shared" si="12"/>
        <v>203896</v>
      </c>
      <c r="W44" s="18">
        <f>W40-W41-W42</f>
        <v>203896</v>
      </c>
      <c r="X44" s="18">
        <f>X40-X41-X42</f>
        <v>0</v>
      </c>
      <c r="Y44" s="18">
        <f t="shared" si="12"/>
        <v>0</v>
      </c>
      <c r="Z44" s="18">
        <f t="shared" si="12"/>
        <v>0</v>
      </c>
      <c r="AA44" s="18">
        <f t="shared" si="12"/>
        <v>0</v>
      </c>
      <c r="AB44" s="18">
        <f>AB40-AB41-AB42</f>
        <v>0</v>
      </c>
      <c r="AC44" s="18">
        <f t="shared" si="12"/>
        <v>0</v>
      </c>
    </row>
    <row r="45" spans="1:30" x14ac:dyDescent="0.2">
      <c r="B45" s="17"/>
      <c r="C45" s="17"/>
      <c r="D45" s="17"/>
      <c r="E45" s="17"/>
      <c r="F45" s="17"/>
      <c r="I45" s="17"/>
      <c r="J45" s="17"/>
      <c r="K45" s="17"/>
      <c r="L45" s="17"/>
      <c r="M45" s="17"/>
      <c r="N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30" x14ac:dyDescent="0.2">
      <c r="A46" s="10" t="s">
        <v>3</v>
      </c>
      <c r="B46" s="16"/>
      <c r="C46" s="18">
        <f>$B$17</f>
        <v>139392</v>
      </c>
      <c r="D46" s="18">
        <f>$B$17</f>
        <v>139392</v>
      </c>
      <c r="E46" s="18">
        <f>$B$17</f>
        <v>139392</v>
      </c>
      <c r="F46" s="18">
        <f>$B$17</f>
        <v>139392</v>
      </c>
      <c r="H46" s="10" t="s">
        <v>3</v>
      </c>
      <c r="I46" s="16"/>
      <c r="J46" s="18">
        <f>$D$17</f>
        <v>145200</v>
      </c>
      <c r="K46" s="18">
        <f t="shared" ref="K46:N46" si="13">$D$17</f>
        <v>145200</v>
      </c>
      <c r="L46" s="18">
        <f>$D$17</f>
        <v>145200</v>
      </c>
      <c r="M46" s="18">
        <f>$D$17</f>
        <v>145200</v>
      </c>
      <c r="N46" s="18"/>
      <c r="P46" s="10" t="s">
        <v>3</v>
      </c>
      <c r="Q46" s="16"/>
      <c r="R46" s="18">
        <f>IF(OR(R38&gt;$G$7,R38&lt;0),$G$17,0)</f>
        <v>131648</v>
      </c>
      <c r="S46" s="18">
        <f t="shared" ref="S46:W46" si="14">IF(OR(S38&gt;$G$7,S38&lt;0),$G$17,0)</f>
        <v>131648</v>
      </c>
      <c r="T46" s="18">
        <f t="shared" si="14"/>
        <v>131648</v>
      </c>
      <c r="U46" s="18">
        <f t="shared" si="14"/>
        <v>131648</v>
      </c>
      <c r="V46" s="18">
        <f t="shared" si="14"/>
        <v>131648</v>
      </c>
      <c r="W46" s="18">
        <f>IF(OR(W38&gt;$G$7,W38&lt;0),0,$G$17)</f>
        <v>131648</v>
      </c>
      <c r="X46" s="18">
        <f>IF(OR(X38&gt;$G$7,X38&lt;0),0,$G$17)</f>
        <v>0</v>
      </c>
      <c r="Y46" s="18">
        <f>IF(OR(Y38&gt;$G$7,Y38&lt;0),0,$G$17)</f>
        <v>0</v>
      </c>
      <c r="Z46" s="18">
        <f t="shared" ref="Y46:AC46" si="15">IF(OR(Z38&gt;$G$7,Z38&lt;0),0,$G$17)</f>
        <v>0</v>
      </c>
      <c r="AA46" s="18">
        <f t="shared" si="15"/>
        <v>0</v>
      </c>
      <c r="AB46" s="18">
        <f t="shared" si="15"/>
        <v>0</v>
      </c>
      <c r="AC46" s="18">
        <f t="shared" si="15"/>
        <v>0</v>
      </c>
    </row>
    <row r="47" spans="1:30" x14ac:dyDescent="0.2">
      <c r="A47" s="10" t="s">
        <v>2</v>
      </c>
      <c r="B47" s="16"/>
      <c r="C47" s="18">
        <v>0</v>
      </c>
      <c r="D47" s="18">
        <v>0</v>
      </c>
      <c r="E47" s="18">
        <v>0</v>
      </c>
      <c r="F47" s="23"/>
      <c r="H47" s="10" t="s">
        <v>2</v>
      </c>
      <c r="I47" s="16"/>
      <c r="J47" s="18">
        <v>0</v>
      </c>
      <c r="K47" s="18">
        <v>0</v>
      </c>
      <c r="L47" s="18">
        <v>0</v>
      </c>
      <c r="M47" s="18">
        <v>0</v>
      </c>
      <c r="N47" s="18"/>
      <c r="P47" s="10" t="s">
        <v>2</v>
      </c>
      <c r="Q47" s="16"/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</row>
    <row r="48" spans="1:30" x14ac:dyDescent="0.2">
      <c r="A48" s="10" t="s">
        <v>39</v>
      </c>
      <c r="B48" s="16"/>
      <c r="C48" s="19">
        <f>$B$21/$B$24</f>
        <v>4714.5</v>
      </c>
      <c r="D48" s="19">
        <f>$B$21/$B$24</f>
        <v>4714.5</v>
      </c>
      <c r="E48" s="19">
        <f>$B$21/$B$24</f>
        <v>4714.5</v>
      </c>
      <c r="F48" s="19">
        <f>$B$21/$B$24</f>
        <v>4714.5</v>
      </c>
      <c r="H48" s="10" t="s">
        <v>39</v>
      </c>
      <c r="I48" s="16"/>
      <c r="J48" s="19">
        <f>$D$21/$D$24</f>
        <v>4303.75</v>
      </c>
      <c r="K48" s="19">
        <f t="shared" ref="K48:N48" si="16">$D$21/$D$24</f>
        <v>4303.75</v>
      </c>
      <c r="L48" s="19">
        <f t="shared" si="16"/>
        <v>4303.75</v>
      </c>
      <c r="M48" s="19">
        <f>$D$21/$D$24</f>
        <v>4303.75</v>
      </c>
      <c r="N48" s="19"/>
      <c r="P48" s="10" t="s">
        <v>39</v>
      </c>
      <c r="Q48" s="16"/>
      <c r="R48" s="19">
        <f>$G$21/$G$24</f>
        <v>2748.6666666666665</v>
      </c>
      <c r="S48" s="19">
        <f t="shared" ref="S48:AC48" si="17">$G$21/$G$24</f>
        <v>2748.6666666666665</v>
      </c>
      <c r="T48" s="19">
        <f t="shared" si="17"/>
        <v>2748.6666666666665</v>
      </c>
      <c r="U48" s="19">
        <f t="shared" si="17"/>
        <v>2748.6666666666665</v>
      </c>
      <c r="V48" s="19">
        <f t="shared" si="17"/>
        <v>2748.6666666666665</v>
      </c>
      <c r="W48" s="19">
        <f>$G$21/$G$24</f>
        <v>2748.6666666666665</v>
      </c>
      <c r="X48" s="19">
        <f>IF(OR(X38&gt;$G$7,X38&lt;0),0,$G$21/$G$24)</f>
        <v>0</v>
      </c>
      <c r="Y48" s="19">
        <f t="shared" ref="Y48:AC48" si="18">IF(OR(Y38&gt;$G$7,Y38&lt;0),0,$G$21/$G$24)</f>
        <v>0</v>
      </c>
      <c r="Z48" s="19">
        <f t="shared" si="18"/>
        <v>0</v>
      </c>
      <c r="AA48" s="19">
        <f t="shared" si="18"/>
        <v>0</v>
      </c>
      <c r="AB48" s="19">
        <f t="shared" si="18"/>
        <v>0</v>
      </c>
      <c r="AC48" s="19">
        <f t="shared" si="18"/>
        <v>0</v>
      </c>
    </row>
    <row r="49" spans="1:29" x14ac:dyDescent="0.2">
      <c r="B49" s="17"/>
      <c r="C49" s="17"/>
      <c r="D49" s="17"/>
      <c r="E49" s="17"/>
      <c r="F49" s="17"/>
      <c r="I49" s="17"/>
      <c r="J49" s="17"/>
      <c r="K49" s="17"/>
      <c r="L49" s="17"/>
      <c r="M49" s="17"/>
      <c r="N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x14ac:dyDescent="0.2">
      <c r="A50" s="10" t="s">
        <v>27</v>
      </c>
      <c r="B50" s="16"/>
      <c r="C50" s="18">
        <f>C44-C46-C47-C48</f>
        <v>71773.5</v>
      </c>
      <c r="D50" s="18">
        <f t="shared" ref="D50" si="19">D44-D46-D47-D48</f>
        <v>71773.5</v>
      </c>
      <c r="E50" s="18">
        <f>E44-E46-E47-E48</f>
        <v>71773.5</v>
      </c>
      <c r="F50" s="18">
        <f>F44-F46-F47-F48</f>
        <v>71773.5</v>
      </c>
      <c r="H50" s="10" t="s">
        <v>27</v>
      </c>
      <c r="I50" s="16"/>
      <c r="J50" s="18">
        <f>J44-J46-J47-J48</f>
        <v>75366.25</v>
      </c>
      <c r="K50" s="18">
        <f t="shared" ref="K50:L50" si="20">K44-K46-K47-K48</f>
        <v>75366.25</v>
      </c>
      <c r="L50" s="18">
        <f t="shared" si="20"/>
        <v>75366.25</v>
      </c>
      <c r="M50" s="18">
        <f>M44-M46-M47-M48</f>
        <v>75366.25</v>
      </c>
      <c r="N50" s="18"/>
      <c r="P50" s="10" t="s">
        <v>27</v>
      </c>
      <c r="Q50" s="16"/>
      <c r="R50" s="18">
        <f>R44-R46-R47-R48</f>
        <v>69499.333333333328</v>
      </c>
      <c r="S50" s="18">
        <f t="shared" ref="S50:AC50" si="21">S44-S46-S47-S48</f>
        <v>69499.333333333328</v>
      </c>
      <c r="T50" s="18">
        <f t="shared" si="21"/>
        <v>69499.333333333328</v>
      </c>
      <c r="U50" s="18">
        <f t="shared" si="21"/>
        <v>69499.333333333328</v>
      </c>
      <c r="V50" s="18">
        <f t="shared" si="21"/>
        <v>69499.333333333328</v>
      </c>
      <c r="W50" s="18">
        <f t="shared" si="21"/>
        <v>69499.333333333328</v>
      </c>
      <c r="X50" s="18">
        <f t="shared" si="21"/>
        <v>0</v>
      </c>
      <c r="Y50" s="18">
        <f t="shared" si="21"/>
        <v>0</v>
      </c>
      <c r="Z50" s="18">
        <f t="shared" si="21"/>
        <v>0</v>
      </c>
      <c r="AA50" s="18">
        <f t="shared" si="21"/>
        <v>0</v>
      </c>
      <c r="AB50" s="18">
        <f t="shared" si="21"/>
        <v>0</v>
      </c>
      <c r="AC50" s="18">
        <f t="shared" si="21"/>
        <v>0</v>
      </c>
    </row>
    <row r="51" spans="1:29" x14ac:dyDescent="0.2">
      <c r="B51" s="17"/>
      <c r="C51" s="17"/>
      <c r="D51" s="17"/>
      <c r="E51" s="17"/>
      <c r="F51" s="17"/>
      <c r="I51" s="17"/>
      <c r="J51" s="17"/>
      <c r="K51" s="17"/>
      <c r="L51" s="17"/>
      <c r="M51" s="17"/>
      <c r="N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x14ac:dyDescent="0.2">
      <c r="A52" s="10" t="s">
        <v>28</v>
      </c>
      <c r="B52" s="16"/>
      <c r="C52" s="18">
        <v>0</v>
      </c>
      <c r="D52" s="18">
        <v>0</v>
      </c>
      <c r="E52" s="18">
        <v>0</v>
      </c>
      <c r="F52" s="18">
        <v>0</v>
      </c>
      <c r="H52" s="10" t="s">
        <v>28</v>
      </c>
      <c r="I52" s="16"/>
      <c r="J52" s="18">
        <v>0</v>
      </c>
      <c r="K52" s="18">
        <v>0</v>
      </c>
      <c r="L52" s="18">
        <v>0</v>
      </c>
      <c r="M52" s="18">
        <v>0</v>
      </c>
      <c r="N52" s="18"/>
      <c r="P52" s="10" t="s">
        <v>28</v>
      </c>
      <c r="Q52" s="16"/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</row>
    <row r="53" spans="1:29" x14ac:dyDescent="0.2">
      <c r="B53" s="17"/>
      <c r="C53" s="17"/>
      <c r="D53" s="17"/>
      <c r="E53" s="17"/>
      <c r="F53" s="17"/>
      <c r="I53" s="17"/>
      <c r="J53" s="17"/>
      <c r="K53" s="17"/>
      <c r="L53" s="17"/>
      <c r="M53" s="17"/>
      <c r="N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x14ac:dyDescent="0.2">
      <c r="A54" s="10" t="s">
        <v>29</v>
      </c>
      <c r="B54" s="16"/>
      <c r="C54" s="18">
        <f>C50-C52</f>
        <v>71773.5</v>
      </c>
      <c r="D54" s="18">
        <f t="shared" ref="D54:F54" si="22">D50-D52</f>
        <v>71773.5</v>
      </c>
      <c r="E54" s="18">
        <f>E50-E52</f>
        <v>71773.5</v>
      </c>
      <c r="F54" s="18">
        <f t="shared" si="22"/>
        <v>71773.5</v>
      </c>
      <c r="H54" s="10" t="s">
        <v>29</v>
      </c>
      <c r="I54" s="16"/>
      <c r="J54" s="18">
        <f>J50-J52</f>
        <v>75366.25</v>
      </c>
      <c r="K54" s="18">
        <f t="shared" ref="K54:M54" si="23">K50-K52</f>
        <v>75366.25</v>
      </c>
      <c r="L54" s="18">
        <f t="shared" si="23"/>
        <v>75366.25</v>
      </c>
      <c r="M54" s="18">
        <f>M50-M52</f>
        <v>75366.25</v>
      </c>
      <c r="N54" s="18"/>
      <c r="P54" s="10" t="s">
        <v>29</v>
      </c>
      <c r="Q54" s="16"/>
      <c r="R54" s="18">
        <f>R50-R52</f>
        <v>69499.333333333328</v>
      </c>
      <c r="S54" s="18">
        <f t="shared" ref="S54:AC54" si="24">S50-S52</f>
        <v>69499.333333333328</v>
      </c>
      <c r="T54" s="18">
        <f t="shared" si="24"/>
        <v>69499.333333333328</v>
      </c>
      <c r="U54" s="18">
        <f t="shared" si="24"/>
        <v>69499.333333333328</v>
      </c>
      <c r="V54" s="18">
        <f t="shared" si="24"/>
        <v>69499.333333333328</v>
      </c>
      <c r="W54" s="18">
        <f t="shared" si="24"/>
        <v>69499.333333333328</v>
      </c>
      <c r="X54" s="18">
        <f t="shared" si="24"/>
        <v>0</v>
      </c>
      <c r="Y54" s="18">
        <f t="shared" si="24"/>
        <v>0</v>
      </c>
      <c r="Z54" s="18">
        <f t="shared" si="24"/>
        <v>0</v>
      </c>
      <c r="AA54" s="18">
        <f t="shared" si="24"/>
        <v>0</v>
      </c>
      <c r="AB54" s="18">
        <f t="shared" si="24"/>
        <v>0</v>
      </c>
      <c r="AC54" s="18">
        <f t="shared" si="24"/>
        <v>0</v>
      </c>
    </row>
    <row r="55" spans="1:29" x14ac:dyDescent="0.2">
      <c r="B55" s="17"/>
      <c r="C55" s="17"/>
      <c r="D55" s="17"/>
      <c r="E55" s="17"/>
      <c r="F55" s="17"/>
      <c r="I55" s="17"/>
      <c r="J55" s="17"/>
      <c r="K55" s="17"/>
      <c r="L55" s="17"/>
      <c r="M55" s="17"/>
      <c r="N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x14ac:dyDescent="0.2">
      <c r="A56" s="10" t="s">
        <v>30</v>
      </c>
      <c r="B56" s="16"/>
      <c r="C56" s="18">
        <f>C54*$B$30</f>
        <v>28709.4</v>
      </c>
      <c r="D56" s="18">
        <f t="shared" ref="D56" si="25">D54*$B$30</f>
        <v>28709.4</v>
      </c>
      <c r="E56" s="18">
        <f>E54*$B$30</f>
        <v>28709.4</v>
      </c>
      <c r="F56" s="18">
        <f>F54*$B$30</f>
        <v>28709.4</v>
      </c>
      <c r="H56" s="10" t="s">
        <v>30</v>
      </c>
      <c r="I56" s="16"/>
      <c r="J56" s="18">
        <f>J54*$D$30</f>
        <v>30146.5</v>
      </c>
      <c r="K56" s="18">
        <f t="shared" ref="K56:M56" si="26">K54*$D$30</f>
        <v>30146.5</v>
      </c>
      <c r="L56" s="18">
        <f t="shared" si="26"/>
        <v>30146.5</v>
      </c>
      <c r="M56" s="18">
        <f>M54*$D$30</f>
        <v>30146.5</v>
      </c>
      <c r="N56" s="18"/>
      <c r="P56" s="10" t="s">
        <v>30</v>
      </c>
      <c r="Q56" s="16"/>
      <c r="R56" s="18">
        <f>R54*$G$30</f>
        <v>27799.733333333334</v>
      </c>
      <c r="S56" s="18">
        <f t="shared" ref="S56:AC56" si="27">S54*$G$30</f>
        <v>27799.733333333334</v>
      </c>
      <c r="T56" s="18">
        <f t="shared" si="27"/>
        <v>27799.733333333334</v>
      </c>
      <c r="U56" s="18">
        <f t="shared" si="27"/>
        <v>27799.733333333334</v>
      </c>
      <c r="V56" s="18">
        <f t="shared" si="27"/>
        <v>27799.733333333334</v>
      </c>
      <c r="W56" s="18">
        <f t="shared" si="27"/>
        <v>27799.733333333334</v>
      </c>
      <c r="X56" s="18">
        <f t="shared" si="27"/>
        <v>0</v>
      </c>
      <c r="Y56" s="18">
        <f t="shared" si="27"/>
        <v>0</v>
      </c>
      <c r="Z56" s="18">
        <f t="shared" si="27"/>
        <v>0</v>
      </c>
      <c r="AA56" s="18">
        <f t="shared" si="27"/>
        <v>0</v>
      </c>
      <c r="AB56" s="18">
        <f t="shared" si="27"/>
        <v>0</v>
      </c>
      <c r="AC56" s="18">
        <f t="shared" si="27"/>
        <v>0</v>
      </c>
    </row>
    <row r="57" spans="1:29" x14ac:dyDescent="0.2">
      <c r="B57" s="17"/>
      <c r="C57" s="17"/>
      <c r="D57" s="17"/>
      <c r="E57" s="17"/>
      <c r="F57" s="17"/>
      <c r="I57" s="17"/>
      <c r="J57" s="17"/>
      <c r="K57" s="17"/>
      <c r="L57" s="17"/>
      <c r="M57" s="17"/>
      <c r="N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x14ac:dyDescent="0.2">
      <c r="A58" s="10" t="s">
        <v>31</v>
      </c>
      <c r="B58" s="16"/>
      <c r="C58" s="18">
        <f>C54-C56</f>
        <v>43064.1</v>
      </c>
      <c r="D58" s="18">
        <f t="shared" ref="D58" si="28">D54-D56</f>
        <v>43064.1</v>
      </c>
      <c r="E58" s="18">
        <f>E54-E56</f>
        <v>43064.1</v>
      </c>
      <c r="F58" s="18">
        <f>F54-F56</f>
        <v>43064.1</v>
      </c>
      <c r="H58" s="10" t="s">
        <v>31</v>
      </c>
      <c r="I58" s="16"/>
      <c r="J58" s="18">
        <f>J54-J56</f>
        <v>45219.75</v>
      </c>
      <c r="K58" s="18">
        <f t="shared" ref="K58:M58" si="29">K54-K56</f>
        <v>45219.75</v>
      </c>
      <c r="L58" s="18">
        <f t="shared" si="29"/>
        <v>45219.75</v>
      </c>
      <c r="M58" s="18">
        <f t="shared" si="29"/>
        <v>45219.75</v>
      </c>
      <c r="N58" s="18"/>
      <c r="P58" s="10" t="s">
        <v>31</v>
      </c>
      <c r="Q58" s="16"/>
      <c r="R58" s="18">
        <f>R54-R56</f>
        <v>41699.599999999991</v>
      </c>
      <c r="S58" s="18">
        <f t="shared" ref="S58:AC58" si="30">S54-S56</f>
        <v>41699.599999999991</v>
      </c>
      <c r="T58" s="18">
        <f t="shared" si="30"/>
        <v>41699.599999999991</v>
      </c>
      <c r="U58" s="18">
        <f t="shared" si="30"/>
        <v>41699.599999999991</v>
      </c>
      <c r="V58" s="18">
        <f t="shared" si="30"/>
        <v>41699.599999999991</v>
      </c>
      <c r="W58" s="18">
        <f t="shared" si="30"/>
        <v>41699.599999999991</v>
      </c>
      <c r="X58" s="18">
        <f t="shared" si="30"/>
        <v>0</v>
      </c>
      <c r="Y58" s="18">
        <f t="shared" si="30"/>
        <v>0</v>
      </c>
      <c r="Z58" s="18">
        <f>Z54-Z56</f>
        <v>0</v>
      </c>
      <c r="AA58" s="18">
        <f t="shared" si="30"/>
        <v>0</v>
      </c>
      <c r="AB58" s="18">
        <f t="shared" si="30"/>
        <v>0</v>
      </c>
      <c r="AC58" s="18">
        <f t="shared" si="30"/>
        <v>0</v>
      </c>
    </row>
    <row r="59" spans="1:29" x14ac:dyDescent="0.2">
      <c r="B59" s="17"/>
      <c r="C59" s="17"/>
      <c r="D59" s="17"/>
      <c r="E59" s="17"/>
      <c r="F59" s="17"/>
      <c r="I59" s="17"/>
      <c r="J59" s="17"/>
      <c r="K59" s="17"/>
      <c r="L59" s="17"/>
      <c r="M59" s="17"/>
      <c r="N59" s="17"/>
      <c r="Q59" s="17"/>
      <c r="R59" s="17"/>
      <c r="S59" s="17"/>
      <c r="T59" s="17"/>
      <c r="U59" s="17"/>
      <c r="V59" s="17"/>
    </row>
    <row r="60" spans="1:29" x14ac:dyDescent="0.2">
      <c r="B60" s="17"/>
      <c r="C60" s="17"/>
      <c r="D60" s="17"/>
      <c r="E60" s="17"/>
      <c r="F60" s="17"/>
      <c r="I60" s="17"/>
      <c r="J60" s="17"/>
      <c r="K60" s="17"/>
      <c r="L60" s="17"/>
      <c r="M60" s="17"/>
      <c r="N60" s="17"/>
      <c r="Q60" s="17"/>
      <c r="R60" s="17"/>
      <c r="S60" s="17"/>
      <c r="T60" s="17"/>
      <c r="U60" s="17"/>
      <c r="V60" s="17"/>
    </row>
    <row r="61" spans="1:29" x14ac:dyDescent="0.2">
      <c r="A61" s="3" t="s">
        <v>32</v>
      </c>
      <c r="B61" s="17"/>
      <c r="C61" s="17"/>
      <c r="D61" s="17"/>
      <c r="E61" s="17"/>
      <c r="F61" s="17"/>
      <c r="H61" s="3" t="s">
        <v>32</v>
      </c>
      <c r="I61" s="17"/>
      <c r="J61" s="17"/>
      <c r="K61" s="17"/>
      <c r="L61" s="17"/>
      <c r="M61" s="17"/>
      <c r="N61" s="17"/>
      <c r="P61" s="3" t="s">
        <v>32</v>
      </c>
      <c r="Q61" s="17"/>
      <c r="R61" s="17"/>
      <c r="S61" s="17"/>
      <c r="T61" s="17"/>
      <c r="U61" s="17"/>
      <c r="V61" s="17"/>
    </row>
    <row r="62" spans="1:29" x14ac:dyDescent="0.2">
      <c r="B62" s="17"/>
      <c r="C62" s="17"/>
      <c r="D62" s="17"/>
      <c r="E62" s="17"/>
      <c r="F62" s="17"/>
      <c r="I62" s="17"/>
      <c r="J62" s="17"/>
      <c r="K62" s="17"/>
      <c r="L62" s="17"/>
      <c r="M62" s="17"/>
      <c r="N62" s="17"/>
      <c r="Q62" s="17"/>
      <c r="R62" s="17"/>
      <c r="S62" s="17"/>
      <c r="T62" s="17"/>
      <c r="U62" s="17"/>
      <c r="V62" s="17"/>
    </row>
    <row r="63" spans="1:29" x14ac:dyDescent="0.2">
      <c r="A63" s="10" t="s">
        <v>5</v>
      </c>
      <c r="B63" s="18">
        <f>B40</f>
        <v>-18858</v>
      </c>
      <c r="C63" s="16"/>
      <c r="D63" s="16"/>
      <c r="E63" s="16"/>
      <c r="F63" s="22"/>
      <c r="H63" s="10" t="s">
        <v>5</v>
      </c>
      <c r="I63" s="18">
        <f>I40</f>
        <v>-17215</v>
      </c>
      <c r="J63" s="16"/>
      <c r="K63" s="16"/>
      <c r="L63" s="16"/>
      <c r="M63" s="16"/>
      <c r="N63" s="16"/>
      <c r="P63" s="10" t="s">
        <v>5</v>
      </c>
      <c r="Q63" s="18">
        <f>Q40</f>
        <v>-204000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x14ac:dyDescent="0.2">
      <c r="A64" s="10" t="s">
        <v>31</v>
      </c>
      <c r="B64" s="16"/>
      <c r="C64" s="18">
        <f>C58</f>
        <v>43064.1</v>
      </c>
      <c r="D64" s="18">
        <f>D58</f>
        <v>43064.1</v>
      </c>
      <c r="E64" s="18">
        <f>E58</f>
        <v>43064.1</v>
      </c>
      <c r="F64" s="18">
        <f>F58</f>
        <v>43064.1</v>
      </c>
      <c r="H64" s="10" t="s">
        <v>31</v>
      </c>
      <c r="I64" s="16"/>
      <c r="J64" s="18">
        <f>J58</f>
        <v>45219.75</v>
      </c>
      <c r="K64" s="18">
        <f t="shared" ref="K64:M64" si="31">K58</f>
        <v>45219.75</v>
      </c>
      <c r="L64" s="18">
        <f t="shared" si="31"/>
        <v>45219.75</v>
      </c>
      <c r="M64" s="18">
        <f>M58</f>
        <v>45219.75</v>
      </c>
      <c r="N64" s="18"/>
      <c r="P64" s="10" t="s">
        <v>31</v>
      </c>
      <c r="Q64" s="16"/>
      <c r="R64" s="18">
        <f>R58</f>
        <v>41699.599999999991</v>
      </c>
      <c r="S64" s="18">
        <f t="shared" ref="S64:AC64" si="32">S58</f>
        <v>41699.599999999991</v>
      </c>
      <c r="T64" s="18">
        <f t="shared" si="32"/>
        <v>41699.599999999991</v>
      </c>
      <c r="U64" s="18">
        <f t="shared" si="32"/>
        <v>41699.599999999991</v>
      </c>
      <c r="V64" s="18">
        <f t="shared" si="32"/>
        <v>41699.599999999991</v>
      </c>
      <c r="W64" s="18">
        <f t="shared" si="32"/>
        <v>41699.599999999991</v>
      </c>
      <c r="X64" s="18">
        <f t="shared" si="32"/>
        <v>0</v>
      </c>
      <c r="Y64" s="18">
        <f t="shared" si="32"/>
        <v>0</v>
      </c>
      <c r="Z64" s="18">
        <f t="shared" si="32"/>
        <v>0</v>
      </c>
      <c r="AA64" s="18">
        <f t="shared" si="32"/>
        <v>0</v>
      </c>
      <c r="AB64" s="18">
        <f t="shared" si="32"/>
        <v>0</v>
      </c>
      <c r="AC64" s="18">
        <f t="shared" si="32"/>
        <v>0</v>
      </c>
    </row>
    <row r="65" spans="1:30" x14ac:dyDescent="0.2">
      <c r="A65" s="10" t="s">
        <v>39</v>
      </c>
      <c r="B65" s="16"/>
      <c r="C65" s="18">
        <f>C48</f>
        <v>4714.5</v>
      </c>
      <c r="D65" s="18">
        <f t="shared" ref="D65" si="33">D48</f>
        <v>4714.5</v>
      </c>
      <c r="E65" s="18">
        <f>E48</f>
        <v>4714.5</v>
      </c>
      <c r="F65" s="18">
        <f>F48</f>
        <v>4714.5</v>
      </c>
      <c r="H65" s="10" t="s">
        <v>39</v>
      </c>
      <c r="I65" s="16"/>
      <c r="J65" s="18">
        <f>J48</f>
        <v>4303.75</v>
      </c>
      <c r="K65" s="18">
        <f t="shared" ref="K65:M65" si="34">K48</f>
        <v>4303.75</v>
      </c>
      <c r="L65" s="18">
        <f t="shared" si="34"/>
        <v>4303.75</v>
      </c>
      <c r="M65" s="18">
        <f>M48</f>
        <v>4303.75</v>
      </c>
      <c r="N65" s="18"/>
      <c r="P65" s="10" t="s">
        <v>39</v>
      </c>
      <c r="Q65" s="16"/>
      <c r="R65" s="18">
        <f>R48</f>
        <v>2748.6666666666665</v>
      </c>
      <c r="S65" s="18">
        <f t="shared" ref="S65:AC65" si="35">S48</f>
        <v>2748.6666666666665</v>
      </c>
      <c r="T65" s="18">
        <f t="shared" si="35"/>
        <v>2748.6666666666665</v>
      </c>
      <c r="U65" s="18">
        <f t="shared" si="35"/>
        <v>2748.6666666666665</v>
      </c>
      <c r="V65" s="18">
        <f t="shared" si="35"/>
        <v>2748.6666666666665</v>
      </c>
      <c r="W65" s="18">
        <f t="shared" si="35"/>
        <v>2748.6666666666665</v>
      </c>
      <c r="X65" s="18">
        <f t="shared" si="35"/>
        <v>0</v>
      </c>
      <c r="Y65" s="18">
        <f t="shared" si="35"/>
        <v>0</v>
      </c>
      <c r="Z65" s="18">
        <f t="shared" si="35"/>
        <v>0</v>
      </c>
      <c r="AA65" s="18">
        <f t="shared" si="35"/>
        <v>0</v>
      </c>
      <c r="AB65" s="18">
        <f t="shared" si="35"/>
        <v>0</v>
      </c>
      <c r="AC65" s="18">
        <f t="shared" si="35"/>
        <v>0</v>
      </c>
    </row>
    <row r="66" spans="1:30" x14ac:dyDescent="0.2">
      <c r="B66" s="17"/>
      <c r="C66" s="17"/>
      <c r="D66" s="17"/>
      <c r="E66" s="17"/>
      <c r="F66" s="17"/>
      <c r="I66" s="17"/>
      <c r="J66" s="17"/>
      <c r="K66" s="17"/>
      <c r="L66" s="17"/>
      <c r="M66" s="17"/>
      <c r="N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30" x14ac:dyDescent="0.2">
      <c r="A67" s="10" t="s">
        <v>33</v>
      </c>
      <c r="B67" s="18">
        <f>B63</f>
        <v>-18858</v>
      </c>
      <c r="C67" s="18">
        <f>C64+C65</f>
        <v>47778.6</v>
      </c>
      <c r="D67" s="18">
        <f t="shared" ref="D67:E67" si="36">D64+D65</f>
        <v>47778.6</v>
      </c>
      <c r="E67" s="18">
        <f t="shared" si="36"/>
        <v>47778.6</v>
      </c>
      <c r="F67" s="18">
        <f>F64+F65</f>
        <v>47778.6</v>
      </c>
      <c r="G67" s="2">
        <f>SUM(B67:F67)</f>
        <v>172256.4</v>
      </c>
      <c r="H67" s="10" t="s">
        <v>33</v>
      </c>
      <c r="I67" s="18">
        <f>I63</f>
        <v>-17215</v>
      </c>
      <c r="J67" s="18">
        <f>J64+J65</f>
        <v>49523.5</v>
      </c>
      <c r="K67" s="18">
        <f t="shared" ref="K67:M67" si="37">K64+K65</f>
        <v>49523.5</v>
      </c>
      <c r="L67" s="18">
        <f t="shared" si="37"/>
        <v>49523.5</v>
      </c>
      <c r="M67" s="18">
        <f t="shared" si="37"/>
        <v>49523.5</v>
      </c>
      <c r="N67" s="18"/>
      <c r="O67" s="2">
        <f>SUM(I67:N67)</f>
        <v>180879</v>
      </c>
      <c r="P67" s="10" t="s">
        <v>33</v>
      </c>
      <c r="Q67" s="18">
        <f>Q63</f>
        <v>-204000</v>
      </c>
      <c r="R67" s="18">
        <f>R64+R65</f>
        <v>44448.266666666656</v>
      </c>
      <c r="S67" s="18">
        <f t="shared" ref="S67:AC67" si="38">S64+S65</f>
        <v>44448.266666666656</v>
      </c>
      <c r="T67" s="18">
        <f t="shared" si="38"/>
        <v>44448.266666666656</v>
      </c>
      <c r="U67" s="18">
        <f t="shared" si="38"/>
        <v>44448.266666666656</v>
      </c>
      <c r="V67" s="18">
        <f t="shared" si="38"/>
        <v>44448.266666666656</v>
      </c>
      <c r="W67" s="18">
        <f t="shared" si="38"/>
        <v>44448.266666666656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2">
        <f>SUM(Q67:AC67)</f>
        <v>62689.599999999955</v>
      </c>
    </row>
    <row r="68" spans="1:30" x14ac:dyDescent="0.2">
      <c r="B68" s="2"/>
      <c r="C68" s="2"/>
      <c r="D68" s="2"/>
      <c r="E68" s="2"/>
      <c r="F68" s="2"/>
      <c r="I68" s="2"/>
      <c r="J68" s="2"/>
      <c r="K68" s="2"/>
      <c r="L68" s="2"/>
      <c r="M68" s="2"/>
      <c r="N68" s="2"/>
      <c r="Q68" s="2"/>
      <c r="R68" s="2"/>
      <c r="S68" s="2"/>
      <c r="T68" s="2"/>
      <c r="U68" s="2"/>
      <c r="V68" s="2"/>
    </row>
    <row r="69" spans="1:30" x14ac:dyDescent="0.2">
      <c r="A69" s="13" t="s">
        <v>34</v>
      </c>
      <c r="B69" s="12">
        <f>NPV(B31,C67:F67)+B67</f>
        <v>132593.73321494428</v>
      </c>
      <c r="C69" s="2"/>
      <c r="D69" s="2"/>
      <c r="E69" s="2"/>
      <c r="F69" s="2"/>
      <c r="H69" s="13" t="s">
        <v>34</v>
      </c>
      <c r="I69" s="12">
        <f>NPV(D31,J67:N67)+I67</f>
        <v>139767.8314322792</v>
      </c>
      <c r="J69" s="2"/>
      <c r="K69" s="2"/>
      <c r="L69" s="2"/>
      <c r="M69" s="2"/>
      <c r="N69" s="2"/>
      <c r="P69" s="13" t="s">
        <v>34</v>
      </c>
      <c r="Q69" s="12">
        <f>NPV(G31,R67:AC67)+Q67</f>
        <v>-10416.211027449899</v>
      </c>
      <c r="R69" s="2"/>
      <c r="S69" s="2"/>
      <c r="T69" s="2"/>
      <c r="U69" s="2"/>
      <c r="V69" s="2"/>
    </row>
    <row r="70" spans="1:30" x14ac:dyDescent="0.2">
      <c r="A70" s="13" t="s">
        <v>35</v>
      </c>
      <c r="B70" s="14">
        <f>IRR(B67:F67)</f>
        <v>2.5170396782816131</v>
      </c>
      <c r="H70" s="13" t="s">
        <v>35</v>
      </c>
      <c r="I70" s="14">
        <f>IRR(I67:N67)</f>
        <v>2.863857611928196</v>
      </c>
      <c r="P70" s="13" t="s">
        <v>35</v>
      </c>
      <c r="Q70" s="14">
        <f>IRR(Q67:W67)</f>
        <v>8.2386164393541073E-2</v>
      </c>
    </row>
    <row r="74" spans="1:30" ht="51" x14ac:dyDescent="0.2">
      <c r="G74" s="28" t="s">
        <v>51</v>
      </c>
      <c r="H74" s="37" t="s">
        <v>70</v>
      </c>
    </row>
    <row r="75" spans="1:30" x14ac:dyDescent="0.2">
      <c r="G75" s="28" t="s">
        <v>68</v>
      </c>
    </row>
    <row r="76" spans="1:30" x14ac:dyDescent="0.2">
      <c r="G76" s="28" t="s">
        <v>67</v>
      </c>
    </row>
    <row r="77" spans="1:30" x14ac:dyDescent="0.2">
      <c r="G77" s="28" t="s">
        <v>69</v>
      </c>
    </row>
    <row r="78" spans="1:30" ht="51" x14ac:dyDescent="0.2">
      <c r="G78" s="28" t="s">
        <v>52</v>
      </c>
      <c r="H78" s="37" t="s">
        <v>71</v>
      </c>
    </row>
    <row r="79" spans="1:30" x14ac:dyDescent="0.2">
      <c r="G79" s="28" t="s">
        <v>68</v>
      </c>
    </row>
    <row r="80" spans="1:30" x14ac:dyDescent="0.2">
      <c r="G80" s="28" t="s">
        <v>67</v>
      </c>
    </row>
    <row r="81" spans="7:7" x14ac:dyDescent="0.2">
      <c r="G81" s="28" t="s">
        <v>69</v>
      </c>
    </row>
  </sheetData>
  <mergeCells count="5">
    <mergeCell ref="B2:C2"/>
    <mergeCell ref="D2:E2"/>
    <mergeCell ref="G2:H2"/>
    <mergeCell ref="B34:D34"/>
    <mergeCell ref="S34:U3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AEF6-700D-40E7-AC2C-C7FD28F89D38}">
  <dimension ref="A1:AD85"/>
  <sheetViews>
    <sheetView tabSelected="1" topLeftCell="A57" workbookViewId="0">
      <selection activeCell="I79" sqref="I79"/>
    </sheetView>
  </sheetViews>
  <sheetFormatPr baseColWidth="10" defaultRowHeight="12.75" x14ac:dyDescent="0.2"/>
  <cols>
    <col min="1" max="1" width="44.28515625" customWidth="1"/>
    <col min="2" max="2" width="13.85546875" bestFit="1" customWidth="1"/>
    <col min="4" max="4" width="12.7109375" customWidth="1"/>
    <col min="8" max="8" width="38.42578125" customWidth="1"/>
    <col min="14" max="14" width="10.140625" customWidth="1"/>
    <col min="15" max="15" width="11.85546875" bestFit="1" customWidth="1"/>
    <col min="16" max="16" width="36.28515625" customWidth="1"/>
  </cols>
  <sheetData>
    <row r="1" spans="1:8" x14ac:dyDescent="0.2">
      <c r="B1" s="28" t="s">
        <v>67</v>
      </c>
      <c r="D1" s="28" t="s">
        <v>68</v>
      </c>
      <c r="G1" s="28" t="s">
        <v>69</v>
      </c>
    </row>
    <row r="2" spans="1:8" x14ac:dyDescent="0.2">
      <c r="B2" s="24" t="s">
        <v>54</v>
      </c>
      <c r="C2" s="24"/>
      <c r="D2" s="24" t="s">
        <v>55</v>
      </c>
      <c r="E2" s="24"/>
      <c r="F2" s="20"/>
      <c r="G2" s="25" t="s">
        <v>56</v>
      </c>
      <c r="H2" s="25"/>
    </row>
    <row r="4" spans="1:8" x14ac:dyDescent="0.2">
      <c r="A4" t="s">
        <v>41</v>
      </c>
      <c r="B4">
        <v>3143</v>
      </c>
      <c r="D4">
        <v>3443</v>
      </c>
      <c r="G4">
        <v>4123</v>
      </c>
    </row>
    <row r="5" spans="1:8" x14ac:dyDescent="0.2">
      <c r="A5" t="s">
        <v>42</v>
      </c>
      <c r="B5">
        <v>10</v>
      </c>
      <c r="D5">
        <v>13</v>
      </c>
      <c r="G5">
        <v>13</v>
      </c>
    </row>
    <row r="6" spans="1:8" x14ac:dyDescent="0.2">
      <c r="A6" t="s">
        <v>47</v>
      </c>
      <c r="B6">
        <v>0</v>
      </c>
      <c r="D6">
        <v>0</v>
      </c>
      <c r="G6">
        <v>0</v>
      </c>
    </row>
    <row r="7" spans="1:8" x14ac:dyDescent="0.2">
      <c r="A7" t="s">
        <v>45</v>
      </c>
      <c r="B7">
        <v>4</v>
      </c>
      <c r="D7">
        <v>4</v>
      </c>
      <c r="G7">
        <v>6</v>
      </c>
    </row>
    <row r="8" spans="1:8" x14ac:dyDescent="0.2">
      <c r="A8" t="s">
        <v>57</v>
      </c>
      <c r="B8">
        <v>12</v>
      </c>
      <c r="D8">
        <v>15</v>
      </c>
      <c r="G8">
        <v>17</v>
      </c>
    </row>
    <row r="9" spans="1:8" x14ac:dyDescent="0.2">
      <c r="A9" t="s">
        <v>58</v>
      </c>
      <c r="B9">
        <v>3000</v>
      </c>
      <c r="D9">
        <v>3000</v>
      </c>
      <c r="G9">
        <v>3000</v>
      </c>
    </row>
    <row r="10" spans="1:8" x14ac:dyDescent="0.2">
      <c r="A10" t="s">
        <v>43</v>
      </c>
      <c r="B10">
        <v>0</v>
      </c>
      <c r="D10">
        <v>0</v>
      </c>
      <c r="G10">
        <v>0</v>
      </c>
    </row>
    <row r="11" spans="1:8" x14ac:dyDescent="0.2">
      <c r="A11" t="s">
        <v>48</v>
      </c>
      <c r="B11">
        <v>1936</v>
      </c>
      <c r="D11">
        <v>1936</v>
      </c>
      <c r="G11">
        <v>1936</v>
      </c>
      <c r="H11" t="s">
        <v>39</v>
      </c>
    </row>
    <row r="12" spans="1:8" x14ac:dyDescent="0.2">
      <c r="A12" t="s">
        <v>44</v>
      </c>
      <c r="B12">
        <v>6</v>
      </c>
      <c r="D12">
        <v>6</v>
      </c>
      <c r="G12">
        <v>6</v>
      </c>
      <c r="H12" s="2">
        <f>B21/B24</f>
        <v>4714.5</v>
      </c>
    </row>
    <row r="14" spans="1:8" x14ac:dyDescent="0.2">
      <c r="A14" s="3" t="s">
        <v>50</v>
      </c>
    </row>
    <row r="15" spans="1:8" x14ac:dyDescent="0.2">
      <c r="A15" s="1" t="s">
        <v>0</v>
      </c>
      <c r="B15" s="2">
        <f>B8*B9*B12</f>
        <v>216000</v>
      </c>
      <c r="C15" s="2"/>
      <c r="D15" s="2">
        <f t="shared" ref="D15" si="0">D8*D9*D12</f>
        <v>270000</v>
      </c>
      <c r="E15" s="2"/>
      <c r="F15" s="2"/>
      <c r="G15" s="2">
        <f>G8*G9*G12</f>
        <v>306000</v>
      </c>
    </row>
    <row r="16" spans="1:8" x14ac:dyDescent="0.2">
      <c r="A16" s="1" t="s">
        <v>49</v>
      </c>
      <c r="B16" s="2">
        <f>(B5*2+B6*B8+B10*B8)*B12</f>
        <v>120</v>
      </c>
      <c r="C16" s="2"/>
      <c r="D16" s="2">
        <f t="shared" ref="D16:G16" si="1">(D5*2+D6*D8+D10*D8)*D12</f>
        <v>156</v>
      </c>
      <c r="E16" s="2"/>
      <c r="F16" s="2"/>
      <c r="G16" s="2">
        <f t="shared" si="1"/>
        <v>156</v>
      </c>
    </row>
    <row r="17" spans="1:7" x14ac:dyDescent="0.2">
      <c r="A17" s="1" t="s">
        <v>3</v>
      </c>
      <c r="B17" s="2">
        <f>B11*B8*B12</f>
        <v>139392</v>
      </c>
      <c r="C17" s="2"/>
      <c r="D17" s="2">
        <f>D11*D8*D12</f>
        <v>174240</v>
      </c>
      <c r="E17" s="2"/>
      <c r="F17" s="2"/>
      <c r="G17" s="2">
        <f>G11*G8*G12</f>
        <v>197472</v>
      </c>
    </row>
    <row r="18" spans="1:7" x14ac:dyDescent="0.2">
      <c r="D18" t="s">
        <v>46</v>
      </c>
    </row>
    <row r="19" spans="1:7" x14ac:dyDescent="0.2">
      <c r="A19" s="3" t="s">
        <v>4</v>
      </c>
      <c r="B19" s="2"/>
    </row>
    <row r="20" spans="1:7" x14ac:dyDescent="0.2">
      <c r="B20" s="2"/>
    </row>
    <row r="21" spans="1:7" x14ac:dyDescent="0.2">
      <c r="A21" s="1" t="s">
        <v>5</v>
      </c>
      <c r="B21" s="2">
        <f>B4*B12</f>
        <v>18858</v>
      </c>
      <c r="C21" s="2"/>
      <c r="D21" s="2">
        <f>D4*D12</f>
        <v>20658</v>
      </c>
      <c r="E21" s="2"/>
      <c r="F21" s="2"/>
      <c r="G21" s="2">
        <f>G4*G12</f>
        <v>24738</v>
      </c>
    </row>
    <row r="22" spans="1:7" x14ac:dyDescent="0.2">
      <c r="A22" s="1" t="s">
        <v>6</v>
      </c>
      <c r="B22" s="6">
        <v>0.9</v>
      </c>
      <c r="D22" s="6">
        <v>0.9</v>
      </c>
      <c r="G22" s="6">
        <v>0.7</v>
      </c>
    </row>
    <row r="23" spans="1:7" x14ac:dyDescent="0.2">
      <c r="A23" s="1" t="s">
        <v>7</v>
      </c>
      <c r="B23" s="6">
        <v>0.1</v>
      </c>
      <c r="D23" s="6">
        <v>0.1</v>
      </c>
      <c r="G23" s="6">
        <v>0.3</v>
      </c>
    </row>
    <row r="24" spans="1:7" x14ac:dyDescent="0.2">
      <c r="A24" s="1" t="s">
        <v>8</v>
      </c>
      <c r="B24" s="7">
        <f>B7</f>
        <v>4</v>
      </c>
      <c r="C24" s="7"/>
      <c r="D24" s="7">
        <f t="shared" ref="D24" si="2">D7</f>
        <v>4</v>
      </c>
      <c r="E24" s="7"/>
      <c r="F24" s="7"/>
      <c r="G24" s="7">
        <f>G7</f>
        <v>6</v>
      </c>
    </row>
    <row r="25" spans="1:7" x14ac:dyDescent="0.2">
      <c r="A25" s="1" t="s">
        <v>9</v>
      </c>
      <c r="B25" s="5">
        <v>0</v>
      </c>
      <c r="D25" s="5">
        <v>0</v>
      </c>
      <c r="G25" s="5">
        <v>0</v>
      </c>
    </row>
    <row r="26" spans="1:7" x14ac:dyDescent="0.2">
      <c r="A26" s="1" t="s">
        <v>10</v>
      </c>
      <c r="B26" s="6">
        <v>0</v>
      </c>
      <c r="D26" s="6">
        <v>0</v>
      </c>
      <c r="G26" s="6">
        <v>0</v>
      </c>
    </row>
    <row r="27" spans="1:7" x14ac:dyDescent="0.2">
      <c r="A27" s="1" t="s">
        <v>11</v>
      </c>
      <c r="B27" s="6">
        <v>0</v>
      </c>
      <c r="D27" s="6">
        <v>0</v>
      </c>
      <c r="G27" s="6">
        <v>0</v>
      </c>
    </row>
    <row r="28" spans="1:7" x14ac:dyDescent="0.2">
      <c r="A28" s="1" t="s">
        <v>12</v>
      </c>
      <c r="B28" s="6">
        <v>0</v>
      </c>
      <c r="D28" s="6">
        <v>0</v>
      </c>
      <c r="G28" s="6">
        <v>0</v>
      </c>
    </row>
    <row r="29" spans="1:7" x14ac:dyDescent="0.2">
      <c r="A29" s="1" t="s">
        <v>13</v>
      </c>
      <c r="B29" s="6">
        <v>0</v>
      </c>
      <c r="D29" s="6">
        <v>0</v>
      </c>
      <c r="G29" s="6">
        <v>0</v>
      </c>
    </row>
    <row r="30" spans="1:7" x14ac:dyDescent="0.2">
      <c r="A30" s="1" t="s">
        <v>14</v>
      </c>
      <c r="B30" s="8">
        <v>0.4</v>
      </c>
      <c r="D30" s="8">
        <v>0.4</v>
      </c>
      <c r="G30" s="8">
        <v>0.4</v>
      </c>
    </row>
    <row r="31" spans="1:7" x14ac:dyDescent="0.2">
      <c r="A31" s="1" t="s">
        <v>15</v>
      </c>
      <c r="B31" s="8">
        <v>0.1</v>
      </c>
      <c r="C31" s="8"/>
      <c r="D31" s="8">
        <v>0.1</v>
      </c>
      <c r="E31" s="8"/>
      <c r="F31" s="8"/>
      <c r="G31" s="8">
        <v>0.1</v>
      </c>
    </row>
    <row r="32" spans="1:7" x14ac:dyDescent="0.2">
      <c r="A32" s="28" t="s">
        <v>62</v>
      </c>
      <c r="B32" s="30">
        <f>B23*B21</f>
        <v>1885.8000000000002</v>
      </c>
      <c r="C32" s="29"/>
      <c r="D32" s="30">
        <f t="shared" ref="D32:G32" si="3">D23*D21</f>
        <v>2065.8000000000002</v>
      </c>
      <c r="E32" s="29"/>
      <c r="F32" s="29"/>
      <c r="G32" s="30">
        <f t="shared" si="3"/>
        <v>7421.4</v>
      </c>
    </row>
    <row r="33" spans="1:30" x14ac:dyDescent="0.2">
      <c r="A33" s="28" t="s">
        <v>63</v>
      </c>
      <c r="B33" s="21">
        <f>B22*B21</f>
        <v>16972.2</v>
      </c>
      <c r="C33" s="21"/>
      <c r="D33" s="21">
        <f>D22*D21</f>
        <v>18592.2</v>
      </c>
      <c r="E33" s="21">
        <f t="shared" ref="E33" si="4">E22*E21</f>
        <v>0</v>
      </c>
      <c r="F33" s="21"/>
      <c r="G33" s="21">
        <f>G22*G21</f>
        <v>17316.599999999999</v>
      </c>
    </row>
    <row r="34" spans="1:30" x14ac:dyDescent="0.2">
      <c r="A34" s="31" t="s">
        <v>65</v>
      </c>
      <c r="B34" s="8">
        <v>0.15</v>
      </c>
      <c r="C34" s="21"/>
      <c r="D34" s="8">
        <v>0.15</v>
      </c>
      <c r="E34" s="21"/>
      <c r="F34" s="21"/>
      <c r="G34" s="8">
        <v>0.15</v>
      </c>
    </row>
    <row r="35" spans="1:30" ht="15.75" x14ac:dyDescent="0.25">
      <c r="A35" s="4" t="s">
        <v>16</v>
      </c>
      <c r="B35" s="24" t="s">
        <v>60</v>
      </c>
      <c r="C35" s="24"/>
      <c r="D35" s="24"/>
      <c r="H35" s="4" t="s">
        <v>16</v>
      </c>
      <c r="K35" s="20" t="s">
        <v>61</v>
      </c>
      <c r="L35" s="20"/>
      <c r="M35" s="20"/>
      <c r="N35" s="20"/>
      <c r="P35" s="4" t="s">
        <v>16</v>
      </c>
      <c r="S35" s="24" t="s">
        <v>59</v>
      </c>
      <c r="T35" s="24"/>
      <c r="U35" s="24"/>
    </row>
    <row r="37" spans="1:30" x14ac:dyDescent="0.2">
      <c r="A37" s="3" t="s">
        <v>17</v>
      </c>
      <c r="H37" s="3" t="s">
        <v>17</v>
      </c>
      <c r="P37" s="3" t="s">
        <v>17</v>
      </c>
    </row>
    <row r="39" spans="1:30" x14ac:dyDescent="0.2">
      <c r="A39" s="10" t="s">
        <v>18</v>
      </c>
      <c r="B39" s="11" t="s">
        <v>19</v>
      </c>
      <c r="C39" s="11" t="s">
        <v>20</v>
      </c>
      <c r="D39" s="11" t="s">
        <v>21</v>
      </c>
      <c r="E39" s="11" t="s">
        <v>22</v>
      </c>
      <c r="F39" s="11" t="s">
        <v>23</v>
      </c>
      <c r="H39" s="10" t="s">
        <v>18</v>
      </c>
      <c r="I39" s="11" t="s">
        <v>19</v>
      </c>
      <c r="J39" s="11" t="s">
        <v>20</v>
      </c>
      <c r="K39" s="11" t="s">
        <v>21</v>
      </c>
      <c r="L39" s="11" t="s">
        <v>22</v>
      </c>
      <c r="M39" s="11" t="s">
        <v>23</v>
      </c>
      <c r="N39" s="26"/>
      <c r="P39" s="10" t="s">
        <v>18</v>
      </c>
      <c r="Q39" s="11" t="s">
        <v>19</v>
      </c>
      <c r="R39" s="11" t="s">
        <v>20</v>
      </c>
      <c r="S39" s="11" t="s">
        <v>21</v>
      </c>
      <c r="T39" s="11" t="s">
        <v>22</v>
      </c>
      <c r="U39" s="11" t="s">
        <v>23</v>
      </c>
      <c r="V39" s="11" t="s">
        <v>24</v>
      </c>
      <c r="W39" s="11">
        <v>6</v>
      </c>
      <c r="X39" s="11">
        <v>7</v>
      </c>
      <c r="Y39" s="11">
        <v>8</v>
      </c>
      <c r="Z39" s="11">
        <v>9</v>
      </c>
      <c r="AA39" s="11">
        <v>10</v>
      </c>
      <c r="AB39" s="11">
        <v>11</v>
      </c>
      <c r="AC39" s="11">
        <v>12</v>
      </c>
    </row>
    <row r="41" spans="1:30" x14ac:dyDescent="0.2">
      <c r="A41" s="10" t="s">
        <v>25</v>
      </c>
      <c r="B41" s="16">
        <f>-B21</f>
        <v>-18858</v>
      </c>
      <c r="C41" s="18">
        <f>$B$15</f>
        <v>216000</v>
      </c>
      <c r="D41" s="18">
        <f>$B$15</f>
        <v>216000</v>
      </c>
      <c r="E41" s="18">
        <f>$B$15</f>
        <v>216000</v>
      </c>
      <c r="F41" s="18">
        <f>$B$15</f>
        <v>216000</v>
      </c>
      <c r="G41" s="2">
        <f>SUM(C41:F41)</f>
        <v>864000</v>
      </c>
      <c r="H41" s="10" t="s">
        <v>25</v>
      </c>
      <c r="I41" s="16">
        <f>-D21</f>
        <v>-20658</v>
      </c>
      <c r="J41" s="18">
        <f>$D$15</f>
        <v>270000</v>
      </c>
      <c r="K41" s="18">
        <f t="shared" ref="K41:L41" si="5">$D$15</f>
        <v>270000</v>
      </c>
      <c r="L41" s="18">
        <f t="shared" si="5"/>
        <v>270000</v>
      </c>
      <c r="M41" s="18">
        <f>$D$15</f>
        <v>270000</v>
      </c>
      <c r="N41" s="18"/>
      <c r="O41" s="2">
        <f>SUM(J41:N41)</f>
        <v>1080000</v>
      </c>
      <c r="P41" s="10" t="s">
        <v>25</v>
      </c>
      <c r="Q41" s="16">
        <f>-IF(OR(Q39&gt;$G$7,Q39&lt;0),$G$15,0)</f>
        <v>-306000</v>
      </c>
      <c r="R41" s="16">
        <f t="shared" ref="R41:AC41" si="6">IF(OR(R39&gt;$G$7,R39&lt;0),$G$15,0)</f>
        <v>306000</v>
      </c>
      <c r="S41" s="16">
        <f t="shared" si="6"/>
        <v>306000</v>
      </c>
      <c r="T41" s="16">
        <f t="shared" si="6"/>
        <v>306000</v>
      </c>
      <c r="U41" s="16">
        <f t="shared" si="6"/>
        <v>306000</v>
      </c>
      <c r="V41" s="16">
        <f t="shared" si="6"/>
        <v>306000</v>
      </c>
      <c r="W41" s="16">
        <f>IF(OR(W39&gt;$G$7,W39&lt;0),0,$G$15)</f>
        <v>306000</v>
      </c>
      <c r="X41" s="16">
        <f>IF(OR(X39&gt;$G$7,X39&lt;0),0,$G$15)</f>
        <v>0</v>
      </c>
      <c r="Y41" s="16">
        <f t="shared" ref="Y41:AC41" si="7">IF(OR(Y39&gt;$G$7,Y39&lt;0),0,$G$15)</f>
        <v>0</v>
      </c>
      <c r="Z41" s="16">
        <f t="shared" si="7"/>
        <v>0</v>
      </c>
      <c r="AA41" s="16">
        <f t="shared" si="7"/>
        <v>0</v>
      </c>
      <c r="AB41" s="16">
        <f t="shared" si="7"/>
        <v>0</v>
      </c>
      <c r="AC41" s="16">
        <f t="shared" si="7"/>
        <v>0</v>
      </c>
      <c r="AD41" s="2">
        <f>SUM(R41:AC41)</f>
        <v>1836000</v>
      </c>
    </row>
    <row r="42" spans="1:30" x14ac:dyDescent="0.2">
      <c r="A42" s="1" t="s">
        <v>49</v>
      </c>
      <c r="B42" s="16"/>
      <c r="C42" s="18">
        <f>$B$16</f>
        <v>120</v>
      </c>
      <c r="D42" s="18">
        <f t="shared" ref="D42" si="8">$B$16</f>
        <v>120</v>
      </c>
      <c r="E42" s="18">
        <f>$B$16</f>
        <v>120</v>
      </c>
      <c r="F42" s="18">
        <f>$B$16</f>
        <v>120</v>
      </c>
      <c r="H42" s="10" t="s">
        <v>40</v>
      </c>
      <c r="I42" s="16"/>
      <c r="J42" s="18">
        <f>$D$16</f>
        <v>156</v>
      </c>
      <c r="K42" s="18">
        <f t="shared" ref="K42:N42" si="9">$D$16</f>
        <v>156</v>
      </c>
      <c r="L42" s="18">
        <f t="shared" si="9"/>
        <v>156</v>
      </c>
      <c r="M42" s="18">
        <f>$D$16</f>
        <v>156</v>
      </c>
      <c r="N42" s="18"/>
      <c r="P42" s="10" t="s">
        <v>40</v>
      </c>
      <c r="Q42" s="18"/>
      <c r="R42" s="18">
        <f>IF(OR(R39&gt;$G$7,R39&lt;0),$G$16,0)</f>
        <v>156</v>
      </c>
      <c r="S42" s="18">
        <f>IF(OR(X39&gt;$G$7,X39&lt;0),$G$16,0)</f>
        <v>156</v>
      </c>
      <c r="T42" s="18">
        <f t="shared" ref="T42:V42" si="10">IF(OR(Y39&gt;$G$7,Y39&lt;0),$G$16,0)</f>
        <v>156</v>
      </c>
      <c r="U42" s="18">
        <f t="shared" si="10"/>
        <v>156</v>
      </c>
      <c r="V42" s="18">
        <f t="shared" si="10"/>
        <v>156</v>
      </c>
      <c r="W42" s="18">
        <f>IF(OR(AB39&gt;$G$7,AB39&lt;0),$G$16,0)</f>
        <v>156</v>
      </c>
      <c r="X42" s="16">
        <f>IF(OR(X39&gt;$G$7,X39&lt;0),0,$G$16)</f>
        <v>0</v>
      </c>
      <c r="Y42" s="16">
        <f t="shared" ref="Y42:AC42" si="11">IF(OR(Y39&gt;$G$7,Y39&lt;0),0,$G$16)</f>
        <v>0</v>
      </c>
      <c r="Z42" s="16">
        <f t="shared" si="11"/>
        <v>0</v>
      </c>
      <c r="AA42" s="16">
        <f t="shared" si="11"/>
        <v>0</v>
      </c>
      <c r="AB42" s="16">
        <f t="shared" si="11"/>
        <v>0</v>
      </c>
      <c r="AC42" s="16">
        <f t="shared" si="11"/>
        <v>0</v>
      </c>
    </row>
    <row r="43" spans="1:30" x14ac:dyDescent="0.2">
      <c r="A43" s="10" t="s">
        <v>1</v>
      </c>
      <c r="B43" s="16">
        <v>0</v>
      </c>
      <c r="C43" s="18">
        <v>0</v>
      </c>
      <c r="D43" s="18">
        <v>0</v>
      </c>
      <c r="E43" s="18">
        <v>0</v>
      </c>
      <c r="F43" s="18">
        <v>0</v>
      </c>
      <c r="H43" s="10" t="s">
        <v>1</v>
      </c>
      <c r="I43" s="16">
        <v>0</v>
      </c>
      <c r="J43" s="18">
        <v>0</v>
      </c>
      <c r="K43" s="18">
        <v>0</v>
      </c>
      <c r="L43" s="18">
        <v>0</v>
      </c>
      <c r="M43" s="18">
        <v>0</v>
      </c>
      <c r="N43" s="18"/>
      <c r="P43" s="10" t="s">
        <v>1</v>
      </c>
      <c r="Q43" s="16">
        <v>0</v>
      </c>
      <c r="R43" s="18">
        <v>0</v>
      </c>
      <c r="S43" s="18">
        <v>0</v>
      </c>
      <c r="T43" s="18">
        <v>0</v>
      </c>
      <c r="U43" s="16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6">
        <v>0</v>
      </c>
      <c r="AC43" s="18">
        <v>0</v>
      </c>
    </row>
    <row r="44" spans="1:30" x14ac:dyDescent="0.2">
      <c r="B44" s="17"/>
      <c r="C44" s="17"/>
      <c r="D44" s="17"/>
      <c r="E44" s="17"/>
      <c r="F44" s="17"/>
      <c r="I44" s="17"/>
      <c r="J44" s="17"/>
      <c r="K44" s="17"/>
      <c r="L44" s="17"/>
      <c r="M44" s="17"/>
      <c r="N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30" x14ac:dyDescent="0.2">
      <c r="A45" s="10" t="s">
        <v>26</v>
      </c>
      <c r="B45" s="16"/>
      <c r="C45" s="18">
        <f>C41-C42-C43</f>
        <v>215880</v>
      </c>
      <c r="D45" s="18">
        <f t="shared" ref="D45" si="12">D41-D42-D43</f>
        <v>215880</v>
      </c>
      <c r="E45" s="18">
        <f>E41-E42-E43</f>
        <v>215880</v>
      </c>
      <c r="F45" s="18">
        <f>F41-F42-F43</f>
        <v>215880</v>
      </c>
      <c r="H45" s="10" t="s">
        <v>26</v>
      </c>
      <c r="I45" s="16"/>
      <c r="J45" s="18">
        <f>J41-J42-J43</f>
        <v>269844</v>
      </c>
      <c r="K45" s="18">
        <f t="shared" ref="K45:M45" si="13">K41-K42-K43</f>
        <v>269844</v>
      </c>
      <c r="L45" s="18">
        <f t="shared" si="13"/>
        <v>269844</v>
      </c>
      <c r="M45" s="18">
        <f>M41-M42-M43</f>
        <v>269844</v>
      </c>
      <c r="N45" s="18"/>
      <c r="P45" s="10" t="s">
        <v>26</v>
      </c>
      <c r="Q45" s="16"/>
      <c r="R45" s="18">
        <f>R41-R42-R43</f>
        <v>305844</v>
      </c>
      <c r="S45" s="18">
        <f t="shared" ref="S45:AC45" si="14">S41-S42-S43</f>
        <v>305844</v>
      </c>
      <c r="T45" s="18">
        <f t="shared" si="14"/>
        <v>305844</v>
      </c>
      <c r="U45" s="18">
        <f t="shared" si="14"/>
        <v>305844</v>
      </c>
      <c r="V45" s="18">
        <f t="shared" si="14"/>
        <v>305844</v>
      </c>
      <c r="W45" s="18">
        <f>W41-W42-W43</f>
        <v>305844</v>
      </c>
      <c r="X45" s="18">
        <f>X41-X42-X43</f>
        <v>0</v>
      </c>
      <c r="Y45" s="18">
        <f t="shared" si="14"/>
        <v>0</v>
      </c>
      <c r="Z45" s="18">
        <f t="shared" si="14"/>
        <v>0</v>
      </c>
      <c r="AA45" s="18">
        <f t="shared" si="14"/>
        <v>0</v>
      </c>
      <c r="AB45" s="18">
        <f>AB41-AB42-AB43</f>
        <v>0</v>
      </c>
      <c r="AC45" s="18">
        <f t="shared" si="14"/>
        <v>0</v>
      </c>
    </row>
    <row r="46" spans="1:30" x14ac:dyDescent="0.2">
      <c r="B46" s="17"/>
      <c r="C46" s="17"/>
      <c r="D46" s="17"/>
      <c r="E46" s="17"/>
      <c r="F46" s="17"/>
      <c r="I46" s="17"/>
      <c r="J46" s="17"/>
      <c r="K46" s="17"/>
      <c r="L46" s="17"/>
      <c r="M46" s="17"/>
      <c r="N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30" x14ac:dyDescent="0.2">
      <c r="A47" s="10" t="s">
        <v>3</v>
      </c>
      <c r="B47" s="16"/>
      <c r="C47" s="18">
        <f>$B$17</f>
        <v>139392</v>
      </c>
      <c r="D47" s="18">
        <f>$B$17</f>
        <v>139392</v>
      </c>
      <c r="E47" s="18">
        <f>$B$17</f>
        <v>139392</v>
      </c>
      <c r="F47" s="18">
        <f>$B$17</f>
        <v>139392</v>
      </c>
      <c r="H47" s="10" t="s">
        <v>3</v>
      </c>
      <c r="I47" s="16"/>
      <c r="J47" s="18">
        <f>$D$17</f>
        <v>174240</v>
      </c>
      <c r="K47" s="18">
        <f t="shared" ref="K47:N47" si="15">$D$17</f>
        <v>174240</v>
      </c>
      <c r="L47" s="18">
        <f>$D$17</f>
        <v>174240</v>
      </c>
      <c r="M47" s="18">
        <f>$D$17</f>
        <v>174240</v>
      </c>
      <c r="N47" s="18"/>
      <c r="P47" s="10" t="s">
        <v>3</v>
      </c>
      <c r="Q47" s="16"/>
      <c r="R47" s="18">
        <f>IF(OR(R39&gt;$G$7,R39&lt;0),$G$17,0)</f>
        <v>197472</v>
      </c>
      <c r="S47" s="18">
        <f t="shared" ref="S47:W47" si="16">IF(OR(S39&gt;$G$7,S39&lt;0),$G$17,0)</f>
        <v>197472</v>
      </c>
      <c r="T47" s="18">
        <f t="shared" si="16"/>
        <v>197472</v>
      </c>
      <c r="U47" s="18">
        <f t="shared" si="16"/>
        <v>197472</v>
      </c>
      <c r="V47" s="18">
        <f t="shared" si="16"/>
        <v>197472</v>
      </c>
      <c r="W47" s="18">
        <f>IF(OR(W39&gt;$G$7,W39&lt;0),0,$G$17)</f>
        <v>197472</v>
      </c>
      <c r="X47" s="18">
        <f>IF(OR(X39&gt;$G$7,X39&lt;0),0,$G$17)</f>
        <v>0</v>
      </c>
      <c r="Y47" s="18">
        <f>IF(OR(Y39&gt;$G$7,Y39&lt;0),0,$G$17)</f>
        <v>0</v>
      </c>
      <c r="Z47" s="18">
        <f t="shared" ref="Z47:AD47" si="17">IF(OR(Z39&gt;$G$7,Z39&lt;0),0,$G$17)</f>
        <v>0</v>
      </c>
      <c r="AA47" s="18">
        <f t="shared" si="17"/>
        <v>0</v>
      </c>
      <c r="AB47" s="18">
        <f t="shared" si="17"/>
        <v>0</v>
      </c>
      <c r="AC47" s="18">
        <f t="shared" si="17"/>
        <v>0</v>
      </c>
    </row>
    <row r="48" spans="1:30" x14ac:dyDescent="0.2">
      <c r="A48" s="10" t="s">
        <v>2</v>
      </c>
      <c r="B48" s="16"/>
      <c r="C48" s="18">
        <v>0</v>
      </c>
      <c r="D48" s="18">
        <v>0</v>
      </c>
      <c r="E48" s="18">
        <v>0</v>
      </c>
      <c r="F48" s="23"/>
      <c r="H48" s="10" t="s">
        <v>2</v>
      </c>
      <c r="I48" s="16"/>
      <c r="J48" s="18">
        <v>0</v>
      </c>
      <c r="K48" s="18">
        <v>0</v>
      </c>
      <c r="L48" s="18">
        <v>0</v>
      </c>
      <c r="M48" s="18">
        <v>0</v>
      </c>
      <c r="N48" s="18"/>
      <c r="P48" s="10" t="s">
        <v>2</v>
      </c>
      <c r="Q48" s="16"/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</row>
    <row r="49" spans="1:29" x14ac:dyDescent="0.2">
      <c r="A49" s="10" t="s">
        <v>39</v>
      </c>
      <c r="B49" s="16"/>
      <c r="C49" s="19">
        <f>$B$21/$B$24</f>
        <v>4714.5</v>
      </c>
      <c r="D49" s="19">
        <f>$B$21/$B$24</f>
        <v>4714.5</v>
      </c>
      <c r="E49" s="19">
        <f>$B$21/$B$24</f>
        <v>4714.5</v>
      </c>
      <c r="F49" s="19">
        <f>$B$21/$B$24</f>
        <v>4714.5</v>
      </c>
      <c r="H49" s="10" t="s">
        <v>39</v>
      </c>
      <c r="I49" s="16"/>
      <c r="J49" s="19">
        <f>$D$21/$D$24</f>
        <v>5164.5</v>
      </c>
      <c r="K49" s="19">
        <f t="shared" ref="K49:N49" si="18">$D$21/$D$24</f>
        <v>5164.5</v>
      </c>
      <c r="L49" s="19">
        <f t="shared" si="18"/>
        <v>5164.5</v>
      </c>
      <c r="M49" s="19">
        <f>$D$21/$D$24</f>
        <v>5164.5</v>
      </c>
      <c r="N49" s="19"/>
      <c r="P49" s="10" t="s">
        <v>39</v>
      </c>
      <c r="Q49" s="16"/>
      <c r="R49" s="19">
        <f>$G$21/$G$24</f>
        <v>4123</v>
      </c>
      <c r="S49" s="19">
        <f t="shared" ref="S49:AC49" si="19">$G$21/$G$24</f>
        <v>4123</v>
      </c>
      <c r="T49" s="19">
        <f t="shared" si="19"/>
        <v>4123</v>
      </c>
      <c r="U49" s="19">
        <f t="shared" si="19"/>
        <v>4123</v>
      </c>
      <c r="V49" s="19">
        <f t="shared" si="19"/>
        <v>4123</v>
      </c>
      <c r="W49" s="19">
        <f>$G$21/$G$24</f>
        <v>4123</v>
      </c>
      <c r="X49" s="19">
        <f>IF(OR(X39&gt;$G$7,X39&lt;0),0,$G$21/$G$24)</f>
        <v>0</v>
      </c>
      <c r="Y49" s="19">
        <f t="shared" ref="Y49:AC49" si="20">IF(OR(Y39&gt;$G$7,Y39&lt;0),0,$G$21/$G$24)</f>
        <v>0</v>
      </c>
      <c r="Z49" s="19">
        <f t="shared" si="20"/>
        <v>0</v>
      </c>
      <c r="AA49" s="19">
        <f t="shared" si="20"/>
        <v>0</v>
      </c>
      <c r="AB49" s="19">
        <f t="shared" si="20"/>
        <v>0</v>
      </c>
      <c r="AC49" s="19">
        <f t="shared" si="20"/>
        <v>0</v>
      </c>
    </row>
    <row r="50" spans="1:29" x14ac:dyDescent="0.2">
      <c r="B50" s="17"/>
      <c r="C50" s="17"/>
      <c r="D50" s="17"/>
      <c r="E50" s="17"/>
      <c r="F50" s="17"/>
      <c r="I50" s="17"/>
      <c r="J50" s="17"/>
      <c r="K50" s="17"/>
      <c r="L50" s="17"/>
      <c r="M50" s="17"/>
      <c r="N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x14ac:dyDescent="0.2">
      <c r="A51" s="10" t="s">
        <v>27</v>
      </c>
      <c r="B51" s="16"/>
      <c r="C51" s="18">
        <f>C45-C47-C48-C49</f>
        <v>71773.5</v>
      </c>
      <c r="D51" s="18">
        <f>D45-D47-D48-D49</f>
        <v>71773.5</v>
      </c>
      <c r="E51" s="18">
        <f>E45-E47-E48-E49</f>
        <v>71773.5</v>
      </c>
      <c r="F51" s="18">
        <f>F45-F47-F48-F49</f>
        <v>71773.5</v>
      </c>
      <c r="H51" s="10" t="s">
        <v>27</v>
      </c>
      <c r="I51" s="16"/>
      <c r="J51" s="18">
        <f>J45-J47-J48-J49</f>
        <v>90439.5</v>
      </c>
      <c r="K51" s="18">
        <f t="shared" ref="K51:L51" si="21">K45-K47-K48-K49</f>
        <v>90439.5</v>
      </c>
      <c r="L51" s="18">
        <f t="shared" si="21"/>
        <v>90439.5</v>
      </c>
      <c r="M51" s="18">
        <f>M45-M47-M48-M49</f>
        <v>90439.5</v>
      </c>
      <c r="N51" s="18"/>
      <c r="P51" s="10" t="s">
        <v>27</v>
      </c>
      <c r="Q51" s="16"/>
      <c r="R51" s="18">
        <f>R45-R47-R48-R49</f>
        <v>104249</v>
      </c>
      <c r="S51" s="18">
        <f t="shared" ref="S51:AC51" si="22">S45-S47-S48-S49</f>
        <v>104249</v>
      </c>
      <c r="T51" s="18">
        <f t="shared" si="22"/>
        <v>104249</v>
      </c>
      <c r="U51" s="18">
        <f t="shared" si="22"/>
        <v>104249</v>
      </c>
      <c r="V51" s="18">
        <f t="shared" si="22"/>
        <v>104249</v>
      </c>
      <c r="W51" s="18">
        <f t="shared" si="22"/>
        <v>104249</v>
      </c>
      <c r="X51" s="18">
        <f t="shared" si="22"/>
        <v>0</v>
      </c>
      <c r="Y51" s="18">
        <f t="shared" si="22"/>
        <v>0</v>
      </c>
      <c r="Z51" s="18">
        <f t="shared" si="22"/>
        <v>0</v>
      </c>
      <c r="AA51" s="18">
        <f t="shared" si="22"/>
        <v>0</v>
      </c>
      <c r="AB51" s="18">
        <f t="shared" si="22"/>
        <v>0</v>
      </c>
      <c r="AC51" s="18">
        <f t="shared" si="22"/>
        <v>0</v>
      </c>
    </row>
    <row r="52" spans="1:29" x14ac:dyDescent="0.2">
      <c r="B52" s="17"/>
      <c r="C52" s="17"/>
      <c r="D52" s="17"/>
      <c r="E52" s="17"/>
      <c r="F52" s="17"/>
      <c r="I52" s="17"/>
      <c r="J52" s="17"/>
      <c r="K52" s="17"/>
      <c r="L52" s="17"/>
      <c r="M52" s="17"/>
      <c r="N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x14ac:dyDescent="0.2">
      <c r="A53" s="10" t="s">
        <v>28</v>
      </c>
      <c r="B53" s="16"/>
      <c r="C53" s="18">
        <f>$B23*($B32)</f>
        <v>188.58000000000004</v>
      </c>
      <c r="D53" s="18">
        <f>$B23*($B32-C62)</f>
        <v>141.43500000000003</v>
      </c>
      <c r="E53" s="18">
        <f>$B23*($B32-C62-D62)</f>
        <v>94.29000000000002</v>
      </c>
      <c r="F53" s="18">
        <f>$B23*($B32-C62-D62-E62)</f>
        <v>47.14500000000001</v>
      </c>
      <c r="H53" s="10" t="s">
        <v>28</v>
      </c>
      <c r="I53" s="16"/>
      <c r="J53" s="18">
        <f>D32*D23</f>
        <v>206.58000000000004</v>
      </c>
      <c r="K53" s="18">
        <v>0</v>
      </c>
      <c r="L53" s="18">
        <v>0</v>
      </c>
      <c r="M53" s="18">
        <v>0</v>
      </c>
      <c r="N53" s="18"/>
      <c r="P53" s="10" t="s">
        <v>28</v>
      </c>
      <c r="Q53" s="16"/>
      <c r="R53" s="18">
        <f>$G23*($G32)</f>
        <v>2226.4199999999996</v>
      </c>
      <c r="S53" s="18">
        <f>$G23*($G32-R62)</f>
        <v>1855.35</v>
      </c>
      <c r="T53" s="18">
        <f>$G23*($G32-R62-S62)</f>
        <v>1484.28</v>
      </c>
      <c r="U53" s="18">
        <f>$G23*($G32-R62-S62-T62)</f>
        <v>1113.2100000000003</v>
      </c>
      <c r="V53" s="18">
        <f>$G23*($G32-R62-S62-T62-U62)</f>
        <v>742.14000000000033</v>
      </c>
      <c r="W53" s="18">
        <f>$G23*($G32-R62-S62-T62-U62-V62)</f>
        <v>371.07000000000033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</row>
    <row r="54" spans="1:29" x14ac:dyDescent="0.2">
      <c r="B54" s="17"/>
      <c r="C54" s="17"/>
      <c r="D54" s="17"/>
      <c r="E54" s="17"/>
      <c r="F54" s="17"/>
      <c r="I54" s="17"/>
      <c r="J54" s="17"/>
      <c r="K54" s="17"/>
      <c r="L54" s="17"/>
      <c r="M54" s="17"/>
      <c r="N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x14ac:dyDescent="0.2">
      <c r="A55" s="10" t="s">
        <v>29</v>
      </c>
      <c r="B55" s="16"/>
      <c r="C55" s="18">
        <f>C51-C53</f>
        <v>71584.92</v>
      </c>
      <c r="D55" s="18">
        <f>D51-D53</f>
        <v>71632.065000000002</v>
      </c>
      <c r="E55" s="18">
        <f>E51-E53</f>
        <v>71679.210000000006</v>
      </c>
      <c r="F55" s="18">
        <f>F51-F53</f>
        <v>71726.354999999996</v>
      </c>
      <c r="H55" s="10" t="s">
        <v>29</v>
      </c>
      <c r="I55" s="16"/>
      <c r="J55" s="18">
        <f>J51-J53</f>
        <v>90232.92</v>
      </c>
      <c r="K55" s="18">
        <f t="shared" ref="K55:M55" si="23">K51-K53</f>
        <v>90439.5</v>
      </c>
      <c r="L55" s="18">
        <f t="shared" si="23"/>
        <v>90439.5</v>
      </c>
      <c r="M55" s="18">
        <f>M51-M53</f>
        <v>90439.5</v>
      </c>
      <c r="N55" s="18"/>
      <c r="P55" s="10" t="s">
        <v>29</v>
      </c>
      <c r="Q55" s="16"/>
      <c r="R55" s="18">
        <f>R51-R53</f>
        <v>102022.58</v>
      </c>
      <c r="S55" s="18">
        <f t="shared" ref="S55:AC55" si="24">S51-S53</f>
        <v>102393.65</v>
      </c>
      <c r="T55" s="18">
        <f t="shared" si="24"/>
        <v>102764.72</v>
      </c>
      <c r="U55" s="18">
        <f t="shared" si="24"/>
        <v>103135.79</v>
      </c>
      <c r="V55" s="18">
        <f t="shared" si="24"/>
        <v>103506.86</v>
      </c>
      <c r="W55" s="18">
        <f t="shared" si="24"/>
        <v>103877.93</v>
      </c>
      <c r="X55" s="18">
        <f t="shared" si="24"/>
        <v>0</v>
      </c>
      <c r="Y55" s="18">
        <f t="shared" si="24"/>
        <v>0</v>
      </c>
      <c r="Z55" s="18">
        <f t="shared" si="24"/>
        <v>0</v>
      </c>
      <c r="AA55" s="18">
        <f t="shared" si="24"/>
        <v>0</v>
      </c>
      <c r="AB55" s="18">
        <f t="shared" si="24"/>
        <v>0</v>
      </c>
      <c r="AC55" s="18">
        <f t="shared" si="24"/>
        <v>0</v>
      </c>
    </row>
    <row r="56" spans="1:29" x14ac:dyDescent="0.2">
      <c r="B56" s="17"/>
      <c r="C56" s="17"/>
      <c r="D56" s="17"/>
      <c r="E56" s="17"/>
      <c r="F56" s="17"/>
      <c r="I56" s="17"/>
      <c r="J56" s="17"/>
      <c r="K56" s="17"/>
      <c r="L56" s="17"/>
      <c r="M56" s="17"/>
      <c r="N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x14ac:dyDescent="0.2">
      <c r="A57" s="10" t="s">
        <v>30</v>
      </c>
      <c r="B57" s="16"/>
      <c r="C57" s="18">
        <f>C55*$B$30</f>
        <v>28633.968000000001</v>
      </c>
      <c r="D57" s="18">
        <f t="shared" ref="D57" si="25">D55*$B$30</f>
        <v>28652.826000000001</v>
      </c>
      <c r="E57" s="18">
        <f>E55*$B$30</f>
        <v>28671.684000000005</v>
      </c>
      <c r="F57" s="18">
        <f>F55*$B$30</f>
        <v>28690.542000000001</v>
      </c>
      <c r="H57" s="10" t="s">
        <v>30</v>
      </c>
      <c r="I57" s="16"/>
      <c r="J57" s="18">
        <f>J55*$D$30</f>
        <v>36093.167999999998</v>
      </c>
      <c r="K57" s="18">
        <f t="shared" ref="K57:M57" si="26">K55*$D$30</f>
        <v>36175.800000000003</v>
      </c>
      <c r="L57" s="18">
        <f t="shared" si="26"/>
        <v>36175.800000000003</v>
      </c>
      <c r="M57" s="18">
        <f>M55*$D$30</f>
        <v>36175.800000000003</v>
      </c>
      <c r="N57" s="18"/>
      <c r="P57" s="10" t="s">
        <v>30</v>
      </c>
      <c r="Q57" s="16"/>
      <c r="R57" s="18">
        <f>R55*$G$30</f>
        <v>40809.032000000007</v>
      </c>
      <c r="S57" s="18">
        <f t="shared" ref="S57:AC57" si="27">S55*$G$30</f>
        <v>40957.46</v>
      </c>
      <c r="T57" s="18">
        <f t="shared" si="27"/>
        <v>41105.888000000006</v>
      </c>
      <c r="U57" s="18">
        <f t="shared" si="27"/>
        <v>41254.315999999999</v>
      </c>
      <c r="V57" s="18">
        <f t="shared" si="27"/>
        <v>41402.744000000006</v>
      </c>
      <c r="W57" s="18">
        <f t="shared" si="27"/>
        <v>41551.171999999999</v>
      </c>
      <c r="X57" s="18">
        <f t="shared" si="27"/>
        <v>0</v>
      </c>
      <c r="Y57" s="18">
        <f t="shared" si="27"/>
        <v>0</v>
      </c>
      <c r="Z57" s="18">
        <f t="shared" si="27"/>
        <v>0</v>
      </c>
      <c r="AA57" s="18">
        <f t="shared" si="27"/>
        <v>0</v>
      </c>
      <c r="AB57" s="18">
        <f t="shared" si="27"/>
        <v>0</v>
      </c>
      <c r="AC57" s="18">
        <f t="shared" si="27"/>
        <v>0</v>
      </c>
    </row>
    <row r="58" spans="1:29" x14ac:dyDescent="0.2">
      <c r="B58" s="17"/>
      <c r="C58" s="17"/>
      <c r="D58" s="17"/>
      <c r="E58" s="17"/>
      <c r="F58" s="17"/>
      <c r="I58" s="17"/>
      <c r="J58" s="17"/>
      <c r="K58" s="17"/>
      <c r="L58" s="17"/>
      <c r="M58" s="17"/>
      <c r="N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x14ac:dyDescent="0.2">
      <c r="A59" s="10" t="s">
        <v>31</v>
      </c>
      <c r="B59" s="16"/>
      <c r="C59" s="18">
        <f>C55-C57</f>
        <v>42950.951999999997</v>
      </c>
      <c r="D59" s="18">
        <f t="shared" ref="D59" si="28">D55-D57</f>
        <v>42979.239000000001</v>
      </c>
      <c r="E59" s="18">
        <f>E55-E57</f>
        <v>43007.525999999998</v>
      </c>
      <c r="F59" s="18">
        <f>F55-F57</f>
        <v>43035.812999999995</v>
      </c>
      <c r="H59" s="10" t="s">
        <v>31</v>
      </c>
      <c r="I59" s="16"/>
      <c r="J59" s="18">
        <f>J55-J57</f>
        <v>54139.752</v>
      </c>
      <c r="K59" s="18">
        <f t="shared" ref="K59:M59" si="29">K55-K57</f>
        <v>54263.7</v>
      </c>
      <c r="L59" s="18">
        <f t="shared" si="29"/>
        <v>54263.7</v>
      </c>
      <c r="M59" s="18">
        <f t="shared" si="29"/>
        <v>54263.7</v>
      </c>
      <c r="N59" s="18"/>
      <c r="P59" s="10" t="s">
        <v>31</v>
      </c>
      <c r="Q59" s="16"/>
      <c r="R59" s="18">
        <f>R55-R57</f>
        <v>61213.547999999995</v>
      </c>
      <c r="S59" s="18">
        <f t="shared" ref="S59:AC59" si="30">S55-S57</f>
        <v>61436.189999999995</v>
      </c>
      <c r="T59" s="18">
        <f t="shared" si="30"/>
        <v>61658.831999999995</v>
      </c>
      <c r="U59" s="18">
        <f t="shared" si="30"/>
        <v>61881.473999999995</v>
      </c>
      <c r="V59" s="18">
        <f t="shared" si="30"/>
        <v>62104.115999999995</v>
      </c>
      <c r="W59" s="18">
        <f t="shared" si="30"/>
        <v>62326.757999999994</v>
      </c>
      <c r="X59" s="18">
        <f t="shared" si="30"/>
        <v>0</v>
      </c>
      <c r="Y59" s="18">
        <f t="shared" si="30"/>
        <v>0</v>
      </c>
      <c r="Z59" s="18">
        <f>Z55-Z57</f>
        <v>0</v>
      </c>
      <c r="AA59" s="18">
        <f t="shared" si="30"/>
        <v>0</v>
      </c>
      <c r="AB59" s="18">
        <f t="shared" si="30"/>
        <v>0</v>
      </c>
      <c r="AC59" s="18">
        <f t="shared" si="30"/>
        <v>0</v>
      </c>
    </row>
    <row r="60" spans="1:29" x14ac:dyDescent="0.2">
      <c r="B60" s="17"/>
      <c r="C60" s="17"/>
      <c r="D60" s="17"/>
      <c r="E60" s="17"/>
      <c r="F60" s="17"/>
      <c r="I60" s="17"/>
      <c r="J60" s="17"/>
      <c r="K60" s="17"/>
      <c r="L60" s="17"/>
      <c r="M60" s="17"/>
      <c r="N60" s="17"/>
      <c r="Q60" s="17"/>
      <c r="R60" s="17"/>
      <c r="S60" s="17"/>
      <c r="T60" s="17"/>
      <c r="U60" s="17"/>
      <c r="V60" s="17"/>
    </row>
    <row r="61" spans="1:29" x14ac:dyDescent="0.2">
      <c r="A61" s="9" t="s">
        <v>36</v>
      </c>
      <c r="B61" s="17"/>
      <c r="C61" s="17"/>
      <c r="D61" s="17"/>
      <c r="E61" s="17"/>
      <c r="F61" s="17"/>
      <c r="H61" s="9" t="s">
        <v>36</v>
      </c>
      <c r="I61" s="17"/>
      <c r="J61" s="17"/>
      <c r="K61" s="17"/>
      <c r="L61" s="17"/>
      <c r="M61" s="17"/>
      <c r="N61" s="17"/>
      <c r="P61" s="9" t="s">
        <v>36</v>
      </c>
      <c r="Q61" s="17"/>
      <c r="R61" s="17"/>
      <c r="S61" s="17"/>
      <c r="T61" s="17"/>
      <c r="U61" s="17"/>
      <c r="V61" s="17"/>
    </row>
    <row r="62" spans="1:29" x14ac:dyDescent="0.2">
      <c r="A62" s="15" t="s">
        <v>37</v>
      </c>
      <c r="B62" s="17"/>
      <c r="C62" s="17">
        <f>$B32/$B24</f>
        <v>471.45000000000005</v>
      </c>
      <c r="D62" s="17">
        <f>$B32/$B24</f>
        <v>471.45000000000005</v>
      </c>
      <c r="E62" s="17">
        <f>$B32/$B24</f>
        <v>471.45000000000005</v>
      </c>
      <c r="F62" s="17">
        <f>$B32/$B24</f>
        <v>471.45000000000005</v>
      </c>
      <c r="H62" s="15" t="s">
        <v>37</v>
      </c>
      <c r="I62" s="17"/>
      <c r="J62" s="17">
        <f>$D32/$D24</f>
        <v>516.45000000000005</v>
      </c>
      <c r="K62" s="17">
        <f>$D32/$D24</f>
        <v>516.45000000000005</v>
      </c>
      <c r="L62" s="17">
        <f>$D32/$D24</f>
        <v>516.45000000000005</v>
      </c>
      <c r="M62" s="17">
        <f>$D32/$D24</f>
        <v>516.45000000000005</v>
      </c>
      <c r="N62" s="17"/>
      <c r="P62" s="15" t="s">
        <v>37</v>
      </c>
      <c r="Q62" s="17"/>
      <c r="R62" s="17">
        <f>$G32/$G24</f>
        <v>1236.8999999999999</v>
      </c>
      <c r="S62" s="17">
        <f t="shared" ref="S62:W62" si="31">$G32/$G24</f>
        <v>1236.8999999999999</v>
      </c>
      <c r="T62" s="17">
        <f t="shared" si="31"/>
        <v>1236.8999999999999</v>
      </c>
      <c r="U62" s="17">
        <f t="shared" si="31"/>
        <v>1236.8999999999999</v>
      </c>
      <c r="V62" s="17">
        <f t="shared" si="31"/>
        <v>1236.8999999999999</v>
      </c>
      <c r="W62" s="17">
        <f t="shared" si="31"/>
        <v>1236.8999999999999</v>
      </c>
    </row>
    <row r="63" spans="1:29" x14ac:dyDescent="0.2">
      <c r="A63" s="15" t="s">
        <v>38</v>
      </c>
      <c r="B63" s="17"/>
      <c r="C63" s="17">
        <f>$B23*($B32)</f>
        <v>188.58000000000004</v>
      </c>
      <c r="D63" s="17">
        <f>$B23*($B32-C62)</f>
        <v>141.43500000000003</v>
      </c>
      <c r="E63" s="17">
        <f>$B23*($B32-C62-D62)</f>
        <v>94.29000000000002</v>
      </c>
      <c r="F63" s="17">
        <f>$B23*($B32-C62-D62-E62)</f>
        <v>47.14500000000001</v>
      </c>
      <c r="H63" s="15" t="s">
        <v>38</v>
      </c>
      <c r="I63" s="17"/>
      <c r="J63" s="17">
        <f>$D23*($D32)</f>
        <v>206.58000000000004</v>
      </c>
      <c r="K63" s="17">
        <f>$D23*($D32-J62)</f>
        <v>154.93500000000003</v>
      </c>
      <c r="L63" s="17">
        <f>$D23*($D32-J62-K62)</f>
        <v>103.29000000000002</v>
      </c>
      <c r="M63" s="17">
        <f>$D23*($D32-J62-K62-L62)</f>
        <v>51.64500000000001</v>
      </c>
      <c r="N63" s="17"/>
      <c r="P63" s="15" t="s">
        <v>38</v>
      </c>
      <c r="Q63" s="17"/>
      <c r="R63" s="17">
        <f>$G23*($G32)</f>
        <v>2226.4199999999996</v>
      </c>
      <c r="S63" s="17">
        <f>$G23*($G32-R62)</f>
        <v>1855.35</v>
      </c>
      <c r="T63" s="17">
        <f>$G23*($G32-R62-S62)</f>
        <v>1484.28</v>
      </c>
      <c r="U63" s="17">
        <f>$G23*($G32-R62-S62-T62)</f>
        <v>1113.2100000000003</v>
      </c>
      <c r="V63" s="17">
        <f>$G23*($G32-R62-S62-T62-U62)</f>
        <v>742.14000000000033</v>
      </c>
      <c r="W63" s="17">
        <f>$G23*($G32-R62-S62-T62-U62-V62)</f>
        <v>371.07000000000033</v>
      </c>
    </row>
    <row r="64" spans="1:29" x14ac:dyDescent="0.2">
      <c r="B64" s="17"/>
      <c r="C64" s="17"/>
      <c r="D64" s="17"/>
      <c r="E64" s="17"/>
      <c r="F64" s="17"/>
      <c r="I64" s="17"/>
      <c r="J64" s="17"/>
      <c r="K64" s="17"/>
      <c r="L64" s="17"/>
      <c r="M64" s="17"/>
      <c r="N64" s="17"/>
      <c r="Q64" s="17"/>
      <c r="R64" s="17"/>
      <c r="S64" s="17"/>
      <c r="T64" s="17"/>
      <c r="U64" s="17"/>
      <c r="V64" s="17"/>
    </row>
    <row r="65" spans="1:30" x14ac:dyDescent="0.2">
      <c r="A65" s="3" t="s">
        <v>32</v>
      </c>
      <c r="B65" s="17"/>
      <c r="C65" s="17"/>
      <c r="D65" s="17"/>
      <c r="E65" s="17"/>
      <c r="F65" s="17"/>
      <c r="H65" s="3" t="s">
        <v>32</v>
      </c>
      <c r="I65" s="17"/>
      <c r="J65" s="17"/>
      <c r="K65" s="17"/>
      <c r="L65" s="17"/>
      <c r="M65" s="17"/>
      <c r="N65" s="17"/>
      <c r="P65" s="3" t="s">
        <v>32</v>
      </c>
      <c r="Q65" s="17"/>
      <c r="R65" s="17"/>
      <c r="S65" s="17"/>
      <c r="T65" s="17"/>
      <c r="U65" s="17"/>
      <c r="V65" s="17"/>
    </row>
    <row r="66" spans="1:30" x14ac:dyDescent="0.2">
      <c r="B66" s="17"/>
      <c r="C66" s="17"/>
      <c r="D66" s="17"/>
      <c r="E66" s="17"/>
      <c r="F66" s="17"/>
      <c r="I66" s="17"/>
      <c r="J66" s="17"/>
      <c r="K66" s="17"/>
      <c r="L66" s="17"/>
      <c r="M66" s="17"/>
      <c r="N66" s="17"/>
      <c r="Q66" s="17"/>
      <c r="R66" s="17"/>
      <c r="S66" s="17"/>
      <c r="T66" s="17"/>
      <c r="U66" s="17"/>
      <c r="V66" s="17"/>
    </row>
    <row r="67" spans="1:30" x14ac:dyDescent="0.2">
      <c r="A67" s="10" t="s">
        <v>5</v>
      </c>
      <c r="B67" s="18">
        <f>B41</f>
        <v>-18858</v>
      </c>
      <c r="C67" s="16"/>
      <c r="D67" s="16"/>
      <c r="E67" s="16"/>
      <c r="F67" s="22"/>
      <c r="H67" s="10" t="s">
        <v>5</v>
      </c>
      <c r="I67" s="18">
        <f>I41</f>
        <v>-20658</v>
      </c>
      <c r="J67" s="16"/>
      <c r="K67" s="16"/>
      <c r="L67" s="16"/>
      <c r="M67" s="16"/>
      <c r="N67" s="16"/>
      <c r="P67" s="10" t="s">
        <v>5</v>
      </c>
      <c r="Q67" s="18">
        <f>Q41</f>
        <v>-306000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30" x14ac:dyDescent="0.2">
      <c r="A68" s="10" t="s">
        <v>31</v>
      </c>
      <c r="B68" s="16"/>
      <c r="C68" s="18">
        <f>C59</f>
        <v>42950.951999999997</v>
      </c>
      <c r="D68" s="18">
        <f>D59</f>
        <v>42979.239000000001</v>
      </c>
      <c r="E68" s="18">
        <f>E59</f>
        <v>43007.525999999998</v>
      </c>
      <c r="F68" s="18">
        <f>F59</f>
        <v>43035.812999999995</v>
      </c>
      <c r="H68" s="10" t="s">
        <v>31</v>
      </c>
      <c r="I68" s="16"/>
      <c r="J68" s="18">
        <f>J59</f>
        <v>54139.752</v>
      </c>
      <c r="K68" s="18">
        <f t="shared" ref="K68:M68" si="32">K59</f>
        <v>54263.7</v>
      </c>
      <c r="L68" s="18">
        <f t="shared" si="32"/>
        <v>54263.7</v>
      </c>
      <c r="M68" s="18">
        <f>M59</f>
        <v>54263.7</v>
      </c>
      <c r="N68" s="18"/>
      <c r="P68" s="10" t="s">
        <v>31</v>
      </c>
      <c r="Q68" s="16"/>
      <c r="R68" s="18">
        <f>R59</f>
        <v>61213.547999999995</v>
      </c>
      <c r="S68" s="18">
        <f t="shared" ref="S68:AC68" si="33">S59</f>
        <v>61436.189999999995</v>
      </c>
      <c r="T68" s="18">
        <f t="shared" si="33"/>
        <v>61658.831999999995</v>
      </c>
      <c r="U68" s="18">
        <f t="shared" si="33"/>
        <v>61881.473999999995</v>
      </c>
      <c r="V68" s="18">
        <f t="shared" si="33"/>
        <v>62104.115999999995</v>
      </c>
      <c r="W68" s="18">
        <f t="shared" si="33"/>
        <v>62326.757999999994</v>
      </c>
      <c r="X68" s="18">
        <f t="shared" si="33"/>
        <v>0</v>
      </c>
      <c r="Y68" s="18">
        <f t="shared" si="33"/>
        <v>0</v>
      </c>
      <c r="Z68" s="18">
        <f t="shared" si="33"/>
        <v>0</v>
      </c>
      <c r="AA68" s="18">
        <f t="shared" si="33"/>
        <v>0</v>
      </c>
      <c r="AB68" s="18">
        <f t="shared" si="33"/>
        <v>0</v>
      </c>
      <c r="AC68" s="18">
        <f t="shared" si="33"/>
        <v>0</v>
      </c>
    </row>
    <row r="69" spans="1:30" x14ac:dyDescent="0.2">
      <c r="A69" s="10" t="s">
        <v>39</v>
      </c>
      <c r="B69" s="16"/>
      <c r="C69" s="18">
        <f>C49</f>
        <v>4714.5</v>
      </c>
      <c r="D69" s="18">
        <f t="shared" ref="D69" si="34">D49</f>
        <v>4714.5</v>
      </c>
      <c r="E69" s="18">
        <f>E49</f>
        <v>4714.5</v>
      </c>
      <c r="F69" s="18">
        <f>F49</f>
        <v>4714.5</v>
      </c>
      <c r="H69" s="10" t="s">
        <v>39</v>
      </c>
      <c r="I69" s="16"/>
      <c r="J69" s="18">
        <f>J49</f>
        <v>5164.5</v>
      </c>
      <c r="K69" s="18">
        <f t="shared" ref="K69:M69" si="35">K49</f>
        <v>5164.5</v>
      </c>
      <c r="L69" s="18">
        <f t="shared" si="35"/>
        <v>5164.5</v>
      </c>
      <c r="M69" s="18">
        <f>M49</f>
        <v>5164.5</v>
      </c>
      <c r="N69" s="18"/>
      <c r="P69" s="10" t="s">
        <v>39</v>
      </c>
      <c r="Q69" s="16"/>
      <c r="R69" s="18">
        <f>R49</f>
        <v>4123</v>
      </c>
      <c r="S69" s="18">
        <f t="shared" ref="S69:AC69" si="36">S49</f>
        <v>4123</v>
      </c>
      <c r="T69" s="18">
        <f t="shared" si="36"/>
        <v>4123</v>
      </c>
      <c r="U69" s="18">
        <f t="shared" si="36"/>
        <v>4123</v>
      </c>
      <c r="V69" s="18">
        <f t="shared" si="36"/>
        <v>4123</v>
      </c>
      <c r="W69" s="18">
        <f t="shared" si="36"/>
        <v>4123</v>
      </c>
      <c r="X69" s="18">
        <f t="shared" si="36"/>
        <v>0</v>
      </c>
      <c r="Y69" s="18">
        <f t="shared" si="36"/>
        <v>0</v>
      </c>
      <c r="Z69" s="18">
        <f t="shared" si="36"/>
        <v>0</v>
      </c>
      <c r="AA69" s="18">
        <f t="shared" si="36"/>
        <v>0</v>
      </c>
      <c r="AB69" s="18">
        <f t="shared" si="36"/>
        <v>0</v>
      </c>
      <c r="AC69" s="18">
        <f t="shared" si="36"/>
        <v>0</v>
      </c>
    </row>
    <row r="70" spans="1:30" x14ac:dyDescent="0.2">
      <c r="B70" s="17"/>
      <c r="C70" s="17"/>
      <c r="D70" s="17"/>
      <c r="E70" s="17"/>
      <c r="F70" s="17"/>
      <c r="I70" s="17"/>
      <c r="J70" s="17"/>
      <c r="K70" s="17"/>
      <c r="L70" s="17"/>
      <c r="M70" s="17"/>
      <c r="N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30" x14ac:dyDescent="0.2">
      <c r="A71" s="10" t="s">
        <v>33</v>
      </c>
      <c r="B71" s="18">
        <f>B67</f>
        <v>-18858</v>
      </c>
      <c r="C71" s="18">
        <f>C68+C69</f>
        <v>47665.451999999997</v>
      </c>
      <c r="D71" s="18">
        <f t="shared" ref="D71:E71" si="37">D68+D69</f>
        <v>47693.739000000001</v>
      </c>
      <c r="E71" s="18">
        <f t="shared" si="37"/>
        <v>47722.025999999998</v>
      </c>
      <c r="F71" s="18">
        <f>F68+F69</f>
        <v>47750.312999999995</v>
      </c>
      <c r="G71" s="2">
        <f>SUM(B71:F71)</f>
        <v>171973.52999999997</v>
      </c>
      <c r="H71" s="10" t="s">
        <v>33</v>
      </c>
      <c r="I71" s="18">
        <f>I67</f>
        <v>-20658</v>
      </c>
      <c r="J71" s="18">
        <f>J68+J69</f>
        <v>59304.252</v>
      </c>
      <c r="K71" s="18">
        <f t="shared" ref="K71:M71" si="38">K68+K69</f>
        <v>59428.2</v>
      </c>
      <c r="L71" s="18">
        <f t="shared" si="38"/>
        <v>59428.2</v>
      </c>
      <c r="M71" s="18">
        <f t="shared" si="38"/>
        <v>59428.2</v>
      </c>
      <c r="N71" s="18"/>
      <c r="O71" s="2">
        <f>SUM(I71:N71)</f>
        <v>216930.85200000001</v>
      </c>
      <c r="P71" s="10" t="s">
        <v>33</v>
      </c>
      <c r="Q71" s="18">
        <f>Q67</f>
        <v>-306000</v>
      </c>
      <c r="R71" s="18">
        <f>R68+R69</f>
        <v>65336.547999999995</v>
      </c>
      <c r="S71" s="18">
        <f t="shared" ref="S71:AC71" si="39">S68+S69</f>
        <v>65559.19</v>
      </c>
      <c r="T71" s="18">
        <f t="shared" si="39"/>
        <v>65781.831999999995</v>
      </c>
      <c r="U71" s="18">
        <f t="shared" si="39"/>
        <v>66004.473999999987</v>
      </c>
      <c r="V71" s="18">
        <f t="shared" si="39"/>
        <v>66227.115999999995</v>
      </c>
      <c r="W71" s="18">
        <f t="shared" si="39"/>
        <v>66449.758000000002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2">
        <f>SUM(Q71:AC71)</f>
        <v>89358.917999999991</v>
      </c>
    </row>
    <row r="72" spans="1:30" x14ac:dyDescent="0.2">
      <c r="B72" s="2"/>
      <c r="C72" s="2"/>
      <c r="D72" s="2"/>
      <c r="E72" s="2"/>
      <c r="F72" s="2"/>
      <c r="I72" s="2"/>
      <c r="J72" s="2"/>
      <c r="K72" s="2"/>
      <c r="L72" s="2"/>
      <c r="M72" s="2"/>
      <c r="N72" s="2"/>
      <c r="Q72" s="36"/>
      <c r="R72" s="2"/>
      <c r="S72" s="2"/>
      <c r="T72" s="2"/>
      <c r="U72" s="2"/>
      <c r="V72" s="2"/>
    </row>
    <row r="73" spans="1:30" x14ac:dyDescent="0.2">
      <c r="A73" s="13" t="s">
        <v>34</v>
      </c>
      <c r="B73" s="12">
        <f>NPV(B31,C71:F71)+B71</f>
        <v>132358.91305375312</v>
      </c>
      <c r="C73" s="2"/>
      <c r="D73" s="2"/>
      <c r="E73" s="2"/>
      <c r="F73" s="2"/>
      <c r="H73" s="13" t="s">
        <v>34</v>
      </c>
      <c r="I73" s="12">
        <f>NPV(D31,J71:N71)+I71</f>
        <v>167608.71771873502</v>
      </c>
      <c r="J73" s="2"/>
      <c r="K73" s="2"/>
      <c r="L73" s="2"/>
      <c r="M73" s="2"/>
      <c r="N73" s="2"/>
      <c r="P73" s="13" t="s">
        <v>34</v>
      </c>
      <c r="Q73" s="35">
        <f>NPV(G31,R71:W71)+Q71</f>
        <v>-19286.197014678037</v>
      </c>
      <c r="R73" s="2"/>
      <c r="S73" s="2"/>
      <c r="T73" s="2"/>
      <c r="U73" s="2"/>
      <c r="V73" s="2"/>
    </row>
    <row r="74" spans="1:30" x14ac:dyDescent="0.2">
      <c r="A74" s="13" t="s">
        <v>35</v>
      </c>
      <c r="B74" s="14">
        <f>IRR(B71:F71)</f>
        <v>2.5115288039015424</v>
      </c>
      <c r="H74" s="13" t="s">
        <v>35</v>
      </c>
      <c r="I74" s="14">
        <f>IRR(I71:N71)</f>
        <v>2.8593518975949208</v>
      </c>
      <c r="P74" s="13" t="s">
        <v>35</v>
      </c>
      <c r="Q74" s="14">
        <f>IRR(Q71:W71)</f>
        <v>7.8264447012191596E-2</v>
      </c>
    </row>
    <row r="75" spans="1:30" x14ac:dyDescent="0.2">
      <c r="A75" s="32" t="s">
        <v>64</v>
      </c>
      <c r="B75" s="33">
        <f>B22*B31*1+B23*B34*(1-B30)</f>
        <v>9.9000000000000005E-2</v>
      </c>
      <c r="H75" s="32" t="s">
        <v>64</v>
      </c>
      <c r="I75" s="33">
        <f>D22*D31*1+D23*D34*(1-D30)</f>
        <v>9.9000000000000005E-2</v>
      </c>
      <c r="P75" s="32" t="s">
        <v>64</v>
      </c>
      <c r="Q75" s="33">
        <f>G22*G31*1+G23*G34*(1-G30)</f>
        <v>9.6999999999999989E-2</v>
      </c>
    </row>
    <row r="78" spans="1:30" ht="51" x14ac:dyDescent="0.2">
      <c r="A78" s="34" t="s">
        <v>66</v>
      </c>
      <c r="E78" s="28"/>
      <c r="G78" s="28" t="s">
        <v>51</v>
      </c>
      <c r="H78" s="37" t="s">
        <v>70</v>
      </c>
    </row>
    <row r="79" spans="1:30" x14ac:dyDescent="0.2">
      <c r="A79" s="27" t="s">
        <v>53</v>
      </c>
      <c r="G79" s="28" t="s">
        <v>68</v>
      </c>
    </row>
    <row r="80" spans="1:30" x14ac:dyDescent="0.2">
      <c r="G80" s="28" t="s">
        <v>67</v>
      </c>
    </row>
    <row r="81" spans="4:8" x14ac:dyDescent="0.2">
      <c r="G81" s="28" t="s">
        <v>69</v>
      </c>
    </row>
    <row r="82" spans="4:8" ht="38.25" x14ac:dyDescent="0.2">
      <c r="D82" s="28"/>
      <c r="G82" s="28" t="s">
        <v>52</v>
      </c>
      <c r="H82" s="37" t="s">
        <v>71</v>
      </c>
    </row>
    <row r="83" spans="4:8" x14ac:dyDescent="0.2">
      <c r="G83" s="28" t="s">
        <v>68</v>
      </c>
    </row>
    <row r="84" spans="4:8" x14ac:dyDescent="0.2">
      <c r="G84" s="28" t="s">
        <v>67</v>
      </c>
    </row>
    <row r="85" spans="4:8" x14ac:dyDescent="0.2">
      <c r="G85" s="28" t="s">
        <v>69</v>
      </c>
    </row>
  </sheetData>
  <mergeCells count="5">
    <mergeCell ref="B2:C2"/>
    <mergeCell ref="D2:E2"/>
    <mergeCell ref="G2:H2"/>
    <mergeCell ref="B35:D35"/>
    <mergeCell ref="S35:U3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computosinfinanciamiento</vt:lpstr>
      <vt:lpstr>computoconfinanciamiento</vt:lpstr>
    </vt:vector>
  </TitlesOfParts>
  <Company>Compañias DeLima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Gómez Uribe/Dpto Nacional de Sistemas</dc:creator>
  <cp:lastModifiedBy>Wuilson Adolfo Estacio Rojas</cp:lastModifiedBy>
  <cp:lastPrinted>2019-06-12T14:14:10Z</cp:lastPrinted>
  <dcterms:created xsi:type="dcterms:W3CDTF">1996-08-10T01:39:40Z</dcterms:created>
  <dcterms:modified xsi:type="dcterms:W3CDTF">2023-07-23T23:39:58Z</dcterms:modified>
</cp:coreProperties>
</file>