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teilte Ablagen\WunderDrive\"/>
    </mc:Choice>
  </mc:AlternateContent>
  <xr:revisionPtr revIDLastSave="0" documentId="13_ncr:1_{5678C372-DD28-4B99-B1F0-397168856A7D}" xr6:coauthVersionLast="47" xr6:coauthVersionMax="47" xr10:uidLastSave="{00000000-0000-0000-0000-000000000000}"/>
  <bookViews>
    <workbookView xWindow="-120" yWindow="-120" windowWidth="29040" windowHeight="15840" xr2:uid="{BA31F93B-8249-4C15-BBB3-057DCD10864F}"/>
  </bookViews>
  <sheets>
    <sheet name="Business-Plan" sheetId="1" r:id="rId1"/>
    <sheet name="Pool-Simulator" sheetId="2" r:id="rId2"/>
    <sheet name="Token-Curves" sheetId="3" r:id="rId3"/>
    <sheet name="t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4" i="1" l="1"/>
  <c r="I94" i="1"/>
  <c r="J94" i="1"/>
  <c r="K94" i="1"/>
  <c r="G94" i="1"/>
  <c r="L9" i="3"/>
  <c r="L10" i="3"/>
  <c r="L17" i="3"/>
  <c r="L18" i="3"/>
  <c r="L25" i="3"/>
  <c r="L26" i="3"/>
  <c r="B37" i="4"/>
  <c r="B36" i="4"/>
  <c r="D35" i="4"/>
  <c r="C35" i="4"/>
  <c r="B34" i="4"/>
  <c r="B33" i="4"/>
  <c r="B32" i="4"/>
  <c r="D31" i="4"/>
  <c r="C31" i="4"/>
  <c r="B30" i="4"/>
  <c r="B29" i="4"/>
  <c r="B28" i="4"/>
  <c r="D27" i="4"/>
  <c r="C27" i="4"/>
  <c r="B26" i="4"/>
  <c r="D25" i="4"/>
  <c r="C25" i="4"/>
  <c r="B24" i="4"/>
  <c r="D16" i="4"/>
  <c r="C16" i="4"/>
  <c r="D29" i="3"/>
  <c r="L29" i="3" s="1"/>
  <c r="D30" i="3"/>
  <c r="L30" i="3" s="1"/>
  <c r="D31" i="3"/>
  <c r="D9" i="3"/>
  <c r="D10" i="3"/>
  <c r="D11" i="3"/>
  <c r="L11" i="3" s="1"/>
  <c r="D12" i="3"/>
  <c r="L12" i="3" s="1"/>
  <c r="D13" i="3"/>
  <c r="L13" i="3" s="1"/>
  <c r="D14" i="3"/>
  <c r="L14" i="3" s="1"/>
  <c r="D15" i="3"/>
  <c r="L15" i="3" s="1"/>
  <c r="D16" i="3"/>
  <c r="L16" i="3" s="1"/>
  <c r="D17" i="3"/>
  <c r="D18" i="3"/>
  <c r="D19" i="3"/>
  <c r="L19" i="3" s="1"/>
  <c r="D20" i="3"/>
  <c r="L20" i="3" s="1"/>
  <c r="D21" i="3"/>
  <c r="L21" i="3" s="1"/>
  <c r="D22" i="3"/>
  <c r="L22" i="3" s="1"/>
  <c r="D23" i="3"/>
  <c r="L23" i="3" s="1"/>
  <c r="D24" i="3"/>
  <c r="L24" i="3" s="1"/>
  <c r="D25" i="3"/>
  <c r="D26" i="3"/>
  <c r="D27" i="3"/>
  <c r="L27" i="3" s="1"/>
  <c r="D28" i="3"/>
  <c r="L28" i="3" s="1"/>
  <c r="B9" i="3"/>
  <c r="B5" i="3"/>
  <c r="E3" i="3" s="1"/>
  <c r="L3" i="3" s="1"/>
  <c r="B17" i="3"/>
  <c r="H4" i="3"/>
  <c r="G4" i="3"/>
  <c r="H3" i="3"/>
  <c r="G3" i="3"/>
  <c r="D7" i="3"/>
  <c r="L7" i="3" s="1"/>
  <c r="D8" i="3"/>
  <c r="L8" i="3" s="1"/>
  <c r="K44" i="1"/>
  <c r="K38" i="1"/>
  <c r="E76" i="1"/>
  <c r="B15" i="1"/>
  <c r="B5" i="1"/>
  <c r="B10" i="1"/>
  <c r="J34" i="1"/>
  <c r="E44" i="1"/>
  <c r="F44" i="1"/>
  <c r="G44" i="1"/>
  <c r="H44" i="1"/>
  <c r="I44" i="1"/>
  <c r="J44" i="1"/>
  <c r="D44" i="1"/>
  <c r="E2" i="2"/>
  <c r="C5" i="2"/>
  <c r="C4" i="2"/>
  <c r="E16" i="2"/>
  <c r="E17" i="2"/>
  <c r="E18" i="2"/>
  <c r="E19" i="2"/>
  <c r="E15" i="2"/>
  <c r="B5" i="2"/>
  <c r="B4" i="2"/>
  <c r="A63" i="2"/>
  <c r="A51" i="2"/>
  <c r="A39" i="2"/>
  <c r="A27" i="2"/>
  <c r="A15" i="2"/>
  <c r="A9" i="2"/>
  <c r="A4" i="2"/>
  <c r="A5" i="2" s="1"/>
  <c r="A6" i="2" s="1"/>
  <c r="A7" i="2" s="1"/>
  <c r="A8" i="2" s="1"/>
  <c r="A10" i="2" s="1"/>
  <c r="A11" i="2" s="1"/>
  <c r="A12" i="2" s="1"/>
  <c r="A13" i="2" s="1"/>
  <c r="A14" i="2" s="1"/>
  <c r="B27" i="4" l="1"/>
  <c r="E19" i="4"/>
  <c r="F19" i="4" s="1"/>
  <c r="E25" i="4"/>
  <c r="K25" i="4" s="1"/>
  <c r="E24" i="4"/>
  <c r="F24" i="4" s="1"/>
  <c r="B25" i="4"/>
  <c r="E28" i="4"/>
  <c r="F28" i="4" s="1"/>
  <c r="E34" i="4"/>
  <c r="F34" i="4" s="1"/>
  <c r="B35" i="4"/>
  <c r="E30" i="4"/>
  <c r="L30" i="4" s="1"/>
  <c r="E41" i="4"/>
  <c r="L41" i="4" s="1"/>
  <c r="B31" i="4"/>
  <c r="E35" i="4"/>
  <c r="K35" i="4" s="1"/>
  <c r="I24" i="3"/>
  <c r="G24" i="3" s="1"/>
  <c r="I16" i="3"/>
  <c r="G16" i="3" s="1"/>
  <c r="I31" i="3"/>
  <c r="G31" i="3" s="1"/>
  <c r="H30" i="3" s="1"/>
  <c r="L31" i="3"/>
  <c r="I20" i="3"/>
  <c r="J19" i="3" s="1"/>
  <c r="I23" i="3"/>
  <c r="G23" i="3" s="1"/>
  <c r="M3" i="3"/>
  <c r="I15" i="3"/>
  <c r="G15" i="3" s="1"/>
  <c r="H14" i="3" s="1"/>
  <c r="I30" i="3"/>
  <c r="J29" i="3" s="1"/>
  <c r="I22" i="3"/>
  <c r="J21" i="3" s="1"/>
  <c r="I14" i="3"/>
  <c r="J13" i="3" s="1"/>
  <c r="I29" i="3"/>
  <c r="J28" i="3" s="1"/>
  <c r="I21" i="3"/>
  <c r="J20" i="3" s="1"/>
  <c r="I13" i="3"/>
  <c r="G13" i="3" s="1"/>
  <c r="I12" i="3"/>
  <c r="J11" i="3" s="1"/>
  <c r="I27" i="3"/>
  <c r="J26" i="3" s="1"/>
  <c r="I19" i="3"/>
  <c r="J18" i="3" s="1"/>
  <c r="I11" i="3"/>
  <c r="J10" i="3" s="1"/>
  <c r="I10" i="3"/>
  <c r="G10" i="3" s="1"/>
  <c r="H9" i="3" s="1"/>
  <c r="I25" i="3"/>
  <c r="G25" i="3" s="1"/>
  <c r="H24" i="3" s="1"/>
  <c r="M24" i="3" s="1"/>
  <c r="I17" i="3"/>
  <c r="G17" i="3" s="1"/>
  <c r="H16" i="3" s="1"/>
  <c r="I26" i="3"/>
  <c r="J25" i="3" s="1"/>
  <c r="B18" i="3"/>
  <c r="G5" i="3" s="1"/>
  <c r="E5" i="3"/>
  <c r="I9" i="3"/>
  <c r="G9" i="3" s="1"/>
  <c r="I8" i="3"/>
  <c r="J7" i="3" s="1"/>
  <c r="I7" i="3"/>
  <c r="G7" i="3" s="1"/>
  <c r="H6" i="3" s="1"/>
  <c r="I18" i="3"/>
  <c r="J17" i="3" s="1"/>
  <c r="I28" i="3"/>
  <c r="G28" i="3" s="1"/>
  <c r="H27" i="3" s="1"/>
  <c r="E27" i="4"/>
  <c r="E33" i="4"/>
  <c r="E26" i="4"/>
  <c r="E36" i="4"/>
  <c r="E29" i="4"/>
  <c r="E38" i="4"/>
  <c r="E40" i="4"/>
  <c r="E42" i="4"/>
  <c r="E32" i="4"/>
  <c r="E31" i="4"/>
  <c r="E37" i="4"/>
  <c r="E39" i="4"/>
  <c r="G19" i="3"/>
  <c r="H18" i="3" s="1"/>
  <c r="J15" i="3"/>
  <c r="G27" i="3"/>
  <c r="H26" i="3" s="1"/>
  <c r="J23" i="3"/>
  <c r="J22" i="3"/>
  <c r="H22" i="3"/>
  <c r="H23" i="3"/>
  <c r="M23" i="3" s="1"/>
  <c r="H15" i="3"/>
  <c r="M15" i="3" s="1"/>
  <c r="H12" i="3"/>
  <c r="G20" i="3"/>
  <c r="G30" i="3"/>
  <c r="G29" i="3"/>
  <c r="E4" i="3"/>
  <c r="O3" i="3"/>
  <c r="P3" i="3" s="1"/>
  <c r="D4" i="3"/>
  <c r="K45" i="1"/>
  <c r="K46" i="1" s="1"/>
  <c r="B17" i="1"/>
  <c r="B16" i="1"/>
  <c r="D5" i="2"/>
  <c r="C6" i="2" s="1"/>
  <c r="A16" i="2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F41" i="4" l="1"/>
  <c r="K41" i="4"/>
  <c r="F25" i="4"/>
  <c r="L25" i="4"/>
  <c r="L28" i="4"/>
  <c r="F30" i="4"/>
  <c r="F35" i="4"/>
  <c r="K30" i="4"/>
  <c r="L35" i="4"/>
  <c r="K28" i="4"/>
  <c r="K34" i="4"/>
  <c r="L34" i="4"/>
  <c r="J30" i="3"/>
  <c r="D6" i="3"/>
  <c r="L5" i="3"/>
  <c r="M16" i="3"/>
  <c r="L4" i="3"/>
  <c r="J14" i="3"/>
  <c r="G11" i="3"/>
  <c r="H10" i="3" s="1"/>
  <c r="M10" i="3" s="1"/>
  <c r="D5" i="3"/>
  <c r="G12" i="3"/>
  <c r="Q13" i="3" s="1"/>
  <c r="M5" i="3"/>
  <c r="J12" i="3"/>
  <c r="G14" i="3"/>
  <c r="M14" i="3" s="1"/>
  <c r="J16" i="3"/>
  <c r="Q10" i="3"/>
  <c r="G8" i="3"/>
  <c r="H7" i="3" s="1"/>
  <c r="M7" i="3" s="1"/>
  <c r="G22" i="3"/>
  <c r="M22" i="3" s="1"/>
  <c r="J6" i="3"/>
  <c r="G21" i="3"/>
  <c r="H20" i="3" s="1"/>
  <c r="M20" i="3" s="1"/>
  <c r="J9" i="3"/>
  <c r="J24" i="3"/>
  <c r="H8" i="3"/>
  <c r="J8" i="3"/>
  <c r="J27" i="3"/>
  <c r="G26" i="3"/>
  <c r="H25" i="3" s="1"/>
  <c r="M25" i="3" s="1"/>
  <c r="M9" i="3"/>
  <c r="G18" i="3"/>
  <c r="H17" i="3" s="1"/>
  <c r="M17" i="3" s="1"/>
  <c r="L39" i="4"/>
  <c r="F39" i="4"/>
  <c r="K39" i="4"/>
  <c r="L37" i="4"/>
  <c r="K37" i="4"/>
  <c r="F37" i="4"/>
  <c r="F29" i="4"/>
  <c r="L29" i="4"/>
  <c r="K29" i="4"/>
  <c r="L42" i="4"/>
  <c r="F42" i="4"/>
  <c r="K42" i="4"/>
  <c r="L40" i="4"/>
  <c r="K40" i="4"/>
  <c r="F40" i="4"/>
  <c r="F31" i="4"/>
  <c r="L31" i="4"/>
  <c r="K31" i="4"/>
  <c r="K36" i="4"/>
  <c r="F36" i="4"/>
  <c r="L36" i="4"/>
  <c r="L33" i="4"/>
  <c r="K33" i="4"/>
  <c r="F33" i="4"/>
  <c r="L38" i="4"/>
  <c r="F38" i="4"/>
  <c r="K38" i="4"/>
  <c r="L32" i="4"/>
  <c r="K32" i="4"/>
  <c r="F32" i="4"/>
  <c r="L26" i="4"/>
  <c r="K26" i="4"/>
  <c r="F26" i="4"/>
  <c r="L27" i="4"/>
  <c r="K27" i="4"/>
  <c r="F27" i="4"/>
  <c r="M27" i="3"/>
  <c r="H11" i="3"/>
  <c r="M11" i="3" s="1"/>
  <c r="H28" i="3"/>
  <c r="M28" i="3" s="1"/>
  <c r="M30" i="3"/>
  <c r="H29" i="3"/>
  <c r="M29" i="3" s="1"/>
  <c r="H19" i="3"/>
  <c r="M19" i="3" s="1"/>
  <c r="M4" i="3"/>
  <c r="O4" i="3" s="1"/>
  <c r="B18" i="1"/>
  <c r="B6" i="2"/>
  <c r="B7" i="2" s="1"/>
  <c r="B8" i="2" s="1"/>
  <c r="D8" i="2" s="1"/>
  <c r="C7" i="2"/>
  <c r="C8" i="2" s="1"/>
  <c r="D38" i="1"/>
  <c r="D45" i="1" s="1"/>
  <c r="D46" i="1" s="1"/>
  <c r="L43" i="4" l="1"/>
  <c r="I6" i="3"/>
  <c r="G6" i="3" s="1"/>
  <c r="L6" i="3"/>
  <c r="M6" i="3"/>
  <c r="Q11" i="3"/>
  <c r="M12" i="3"/>
  <c r="H21" i="3"/>
  <c r="M21" i="3" s="1"/>
  <c r="Q12" i="3"/>
  <c r="H13" i="3"/>
  <c r="M13" i="3" s="1"/>
  <c r="Q9" i="3"/>
  <c r="Q8" i="3"/>
  <c r="M8" i="3"/>
  <c r="M18" i="3"/>
  <c r="M26" i="3"/>
  <c r="P4" i="3"/>
  <c r="O5" i="3"/>
  <c r="F20" i="1"/>
  <c r="D63" i="1" s="1"/>
  <c r="D67" i="1" s="1"/>
  <c r="E75" i="1" s="1"/>
  <c r="K50" i="1"/>
  <c r="D39" i="1"/>
  <c r="D49" i="1" s="1"/>
  <c r="D50" i="1"/>
  <c r="B9" i="2"/>
  <c r="B10" i="2" s="1"/>
  <c r="B11" i="2" s="1"/>
  <c r="B12" i="2" s="1"/>
  <c r="B13" i="2" s="1"/>
  <c r="B14" i="2" s="1"/>
  <c r="D14" i="2" s="1"/>
  <c r="D2" i="2"/>
  <c r="E14" i="2" s="1"/>
  <c r="C9" i="2"/>
  <c r="K63" i="1" l="1"/>
  <c r="K67" i="1" s="1"/>
  <c r="P5" i="3"/>
  <c r="O6" i="3"/>
  <c r="D51" i="1"/>
  <c r="B15" i="2"/>
  <c r="E20" i="2"/>
  <c r="D15" i="2"/>
  <c r="C10" i="2"/>
  <c r="C11" i="2" s="1"/>
  <c r="C12" i="2" s="1"/>
  <c r="C13" i="2" s="1"/>
  <c r="C14" i="2" s="1"/>
  <c r="C15" i="2" s="1"/>
  <c r="E38" i="1"/>
  <c r="K68" i="1" l="1" a="1"/>
  <c r="K68" i="1" s="1"/>
  <c r="K87" i="1" s="1" a="1"/>
  <c r="K87" i="1" s="1"/>
  <c r="K91" i="1" s="1"/>
  <c r="O7" i="3"/>
  <c r="P6" i="3"/>
  <c r="E63" i="1"/>
  <c r="E67" i="1" s="1"/>
  <c r="E45" i="1"/>
  <c r="E46" i="1" s="1"/>
  <c r="D54" i="1"/>
  <c r="D71" i="1"/>
  <c r="E39" i="1"/>
  <c r="E49" i="1" s="1"/>
  <c r="E50" i="1"/>
  <c r="B16" i="2"/>
  <c r="C16" i="2"/>
  <c r="F38" i="1"/>
  <c r="D16" i="2"/>
  <c r="E21" i="2"/>
  <c r="P7" i="3" l="1"/>
  <c r="O8" i="3"/>
  <c r="F75" i="1"/>
  <c r="E77" i="1"/>
  <c r="F63" i="1"/>
  <c r="F67" i="1" s="1"/>
  <c r="G75" i="1" s="1"/>
  <c r="F45" i="1"/>
  <c r="F46" i="1" s="1"/>
  <c r="E51" i="1"/>
  <c r="F39" i="1"/>
  <c r="F49" i="1" s="1"/>
  <c r="F50" i="1"/>
  <c r="C17" i="2"/>
  <c r="B17" i="2"/>
  <c r="D17" i="2"/>
  <c r="E22" i="2"/>
  <c r="O9" i="3" l="1"/>
  <c r="P8" i="3"/>
  <c r="E54" i="1"/>
  <c r="E71" i="1"/>
  <c r="F51" i="1"/>
  <c r="C18" i="2"/>
  <c r="B18" i="2"/>
  <c r="D18" i="2"/>
  <c r="E23" i="2"/>
  <c r="O10" i="3" l="1"/>
  <c r="P9" i="3"/>
  <c r="F54" i="1"/>
  <c r="F52" i="1"/>
  <c r="F62" i="1" s="1"/>
  <c r="F71" i="1"/>
  <c r="F72" i="1" s="1"/>
  <c r="D19" i="2"/>
  <c r="E24" i="2"/>
  <c r="B19" i="2"/>
  <c r="C19" i="2"/>
  <c r="P10" i="3" l="1"/>
  <c r="O11" i="3"/>
  <c r="F76" i="1"/>
  <c r="C20" i="2"/>
  <c r="B20" i="2"/>
  <c r="D20" i="2"/>
  <c r="E25" i="2"/>
  <c r="P11" i="3" l="1"/>
  <c r="O12" i="3"/>
  <c r="F77" i="1"/>
  <c r="C21" i="2"/>
  <c r="D21" i="2"/>
  <c r="E26" i="2"/>
  <c r="B21" i="2"/>
  <c r="P12" i="3" l="1"/>
  <c r="O13" i="3"/>
  <c r="F81" i="1"/>
  <c r="F82" i="1" s="1"/>
  <c r="F84" i="1" s="1"/>
  <c r="F103" i="1"/>
  <c r="F80" i="1"/>
  <c r="C22" i="2"/>
  <c r="B22" i="2"/>
  <c r="D22" i="2"/>
  <c r="E27" i="2"/>
  <c r="O14" i="3" l="1"/>
  <c r="P13" i="3"/>
  <c r="F83" i="1"/>
  <c r="C23" i="2"/>
  <c r="D23" i="2"/>
  <c r="E28" i="2"/>
  <c r="B23" i="2"/>
  <c r="O15" i="3" l="1"/>
  <c r="P14" i="3"/>
  <c r="C24" i="2"/>
  <c r="B24" i="2"/>
  <c r="D24" i="2"/>
  <c r="E29" i="2"/>
  <c r="P15" i="3" l="1"/>
  <c r="O16" i="3"/>
  <c r="C25" i="2"/>
  <c r="D25" i="2"/>
  <c r="E30" i="2"/>
  <c r="B25" i="2"/>
  <c r="O17" i="3" l="1"/>
  <c r="P16" i="3"/>
  <c r="C26" i="2"/>
  <c r="B26" i="2"/>
  <c r="D26" i="2"/>
  <c r="E31" i="2"/>
  <c r="O18" i="3" l="1"/>
  <c r="P17" i="3"/>
  <c r="D27" i="2"/>
  <c r="E32" i="2"/>
  <c r="B27" i="2"/>
  <c r="C27" i="2"/>
  <c r="P18" i="3" l="1"/>
  <c r="O19" i="3"/>
  <c r="C28" i="2"/>
  <c r="G38" i="1"/>
  <c r="G45" i="1" s="1"/>
  <c r="G46" i="1" s="1"/>
  <c r="B28" i="2"/>
  <c r="G37" i="1"/>
  <c r="D28" i="2"/>
  <c r="E33" i="2"/>
  <c r="O20" i="3" l="1"/>
  <c r="P19" i="3"/>
  <c r="G50" i="1"/>
  <c r="G63" i="1"/>
  <c r="G67" i="1" s="1"/>
  <c r="C29" i="2"/>
  <c r="D29" i="2"/>
  <c r="E34" i="2"/>
  <c r="G39" i="1"/>
  <c r="G49" i="1" s="1"/>
  <c r="B29" i="2"/>
  <c r="G68" i="1" l="1" a="1"/>
  <c r="G68" i="1" s="1"/>
  <c r="G87" i="1" s="1" a="1"/>
  <c r="G87" i="1" s="1"/>
  <c r="G91" i="1" s="1"/>
  <c r="O21" i="3"/>
  <c r="P20" i="3"/>
  <c r="H75" i="1"/>
  <c r="G51" i="1"/>
  <c r="G71" i="1" s="1"/>
  <c r="G72" i="1" s="1"/>
  <c r="C30" i="2"/>
  <c r="B30" i="2"/>
  <c r="D30" i="2"/>
  <c r="E35" i="2"/>
  <c r="P21" i="3" l="1"/>
  <c r="O22" i="3"/>
  <c r="G76" i="1"/>
  <c r="G52" i="1"/>
  <c r="G62" i="1" s="1"/>
  <c r="G54" i="1"/>
  <c r="B31" i="2"/>
  <c r="D31" i="2"/>
  <c r="E36" i="2"/>
  <c r="C31" i="2"/>
  <c r="P22" i="3" l="1"/>
  <c r="O23" i="3"/>
  <c r="G77" i="1"/>
  <c r="D32" i="2"/>
  <c r="E37" i="2"/>
  <c r="B32" i="2"/>
  <c r="C32" i="2"/>
  <c r="O24" i="3" l="1"/>
  <c r="P23" i="3"/>
  <c r="G81" i="1"/>
  <c r="G82" i="1" s="1"/>
  <c r="G84" i="1" s="1"/>
  <c r="G103" i="1"/>
  <c r="G80" i="1"/>
  <c r="B33" i="2"/>
  <c r="D33" i="2"/>
  <c r="E38" i="2"/>
  <c r="C33" i="2"/>
  <c r="P24" i="3" l="1"/>
  <c r="O25" i="3"/>
  <c r="G83" i="1"/>
  <c r="D34" i="2"/>
  <c r="E39" i="2"/>
  <c r="B34" i="2"/>
  <c r="C34" i="2"/>
  <c r="P25" i="3" l="1"/>
  <c r="O26" i="3"/>
  <c r="D35" i="2"/>
  <c r="E40" i="2"/>
  <c r="C35" i="2"/>
  <c r="B35" i="2"/>
  <c r="P26" i="3" l="1"/>
  <c r="O27" i="3"/>
  <c r="D36" i="2"/>
  <c r="E41" i="2"/>
  <c r="B36" i="2"/>
  <c r="C36" i="2"/>
  <c r="P27" i="3" l="1"/>
  <c r="O28" i="3"/>
  <c r="C37" i="2"/>
  <c r="B37" i="2"/>
  <c r="D37" i="2"/>
  <c r="E42" i="2"/>
  <c r="P28" i="3" l="1"/>
  <c r="O29" i="3"/>
  <c r="C38" i="2"/>
  <c r="D38" i="2"/>
  <c r="E43" i="2"/>
  <c r="B38" i="2"/>
  <c r="P29" i="3" l="1"/>
  <c r="O30" i="3"/>
  <c r="P30" i="3" s="1"/>
  <c r="C39" i="2"/>
  <c r="H38" i="1" s="1"/>
  <c r="H45" i="1" s="1"/>
  <c r="H46" i="1" s="1"/>
  <c r="B39" i="2"/>
  <c r="H37" i="1" s="1"/>
  <c r="D39" i="2"/>
  <c r="E44" i="2"/>
  <c r="H50" i="1" l="1"/>
  <c r="H63" i="1"/>
  <c r="H67" i="1" s="1"/>
  <c r="B40" i="2"/>
  <c r="H39" i="1"/>
  <c r="H49" i="1" s="1"/>
  <c r="C40" i="2"/>
  <c r="E45" i="2"/>
  <c r="D40" i="2"/>
  <c r="H68" i="1" l="1" a="1"/>
  <c r="H68" i="1" s="1"/>
  <c r="H87" i="1" s="1" a="1"/>
  <c r="H87" i="1" s="1"/>
  <c r="H91" i="1" s="1"/>
  <c r="H100" i="1"/>
  <c r="I75" i="1"/>
  <c r="H51" i="1"/>
  <c r="H52" i="1" s="1"/>
  <c r="H62" i="1" s="1"/>
  <c r="B41" i="2"/>
  <c r="D41" i="2"/>
  <c r="E46" i="2"/>
  <c r="C41" i="2"/>
  <c r="H92" i="1" l="1"/>
  <c r="H71" i="1"/>
  <c r="H72" i="1" s="1"/>
  <c r="H54" i="1"/>
  <c r="C42" i="2"/>
  <c r="D42" i="2"/>
  <c r="E47" i="2"/>
  <c r="B42" i="2"/>
  <c r="H76" i="1" l="1"/>
  <c r="B43" i="2"/>
  <c r="D43" i="2"/>
  <c r="E48" i="2"/>
  <c r="C43" i="2"/>
  <c r="H77" i="1" l="1"/>
  <c r="C44" i="2"/>
  <c r="D44" i="2"/>
  <c r="E49" i="2"/>
  <c r="B44" i="2"/>
  <c r="H81" i="1" l="1"/>
  <c r="H83" i="1" s="1"/>
  <c r="H103" i="1"/>
  <c r="H80" i="1"/>
  <c r="H88" i="1" s="1"/>
  <c r="C45" i="2"/>
  <c r="B45" i="2"/>
  <c r="D45" i="2"/>
  <c r="E50" i="2"/>
  <c r="H82" i="1" l="1"/>
  <c r="H84" i="1" s="1"/>
  <c r="G99" i="1"/>
  <c r="D46" i="2"/>
  <c r="E51" i="2"/>
  <c r="B46" i="2"/>
  <c r="C46" i="2"/>
  <c r="F99" i="1" l="1"/>
  <c r="G100" i="1"/>
  <c r="D47" i="2"/>
  <c r="E52" i="2"/>
  <c r="C47" i="2"/>
  <c r="B47" i="2"/>
  <c r="H102" i="1" l="1"/>
  <c r="E99" i="1"/>
  <c r="E100" i="1" s="1"/>
  <c r="F100" i="1"/>
  <c r="D48" i="2"/>
  <c r="E53" i="2"/>
  <c r="B48" i="2"/>
  <c r="C48" i="2"/>
  <c r="F102" i="1" l="1"/>
  <c r="F104" i="1" s="1"/>
  <c r="H104" i="1"/>
  <c r="G102" i="1"/>
  <c r="C49" i="2"/>
  <c r="B49" i="2"/>
  <c r="D49" i="2"/>
  <c r="E54" i="2"/>
  <c r="G104" i="1" l="1"/>
  <c r="D50" i="2"/>
  <c r="E55" i="2"/>
  <c r="B50" i="2"/>
  <c r="C50" i="2"/>
  <c r="B51" i="2" l="1"/>
  <c r="C51" i="2"/>
  <c r="I38" i="1" s="1"/>
  <c r="I45" i="1" s="1"/>
  <c r="I46" i="1" s="1"/>
  <c r="D51" i="2"/>
  <c r="E56" i="2"/>
  <c r="D52" i="2" l="1"/>
  <c r="E57" i="2"/>
  <c r="C52" i="2"/>
  <c r="B52" i="2"/>
  <c r="I37" i="1"/>
  <c r="I50" i="1" l="1"/>
  <c r="I63" i="1"/>
  <c r="I67" i="1" s="1"/>
  <c r="I39" i="1"/>
  <c r="I49" i="1" s="1"/>
  <c r="B53" i="2"/>
  <c r="C53" i="2"/>
  <c r="D53" i="2"/>
  <c r="E58" i="2"/>
  <c r="I68" i="1" l="1" a="1"/>
  <c r="I68" i="1" s="1"/>
  <c r="I87" i="1" s="1" a="1"/>
  <c r="I87" i="1" s="1"/>
  <c r="I91" i="1" s="1"/>
  <c r="J75" i="1"/>
  <c r="I51" i="1"/>
  <c r="I54" i="1" s="1"/>
  <c r="C54" i="2"/>
  <c r="D54" i="2"/>
  <c r="E59" i="2"/>
  <c r="B54" i="2"/>
  <c r="I92" i="1" l="1"/>
  <c r="I71" i="1"/>
  <c r="I72" i="1" s="1"/>
  <c r="I52" i="1"/>
  <c r="I62" i="1" s="1"/>
  <c r="B55" i="2"/>
  <c r="D55" i="2"/>
  <c r="E60" i="2"/>
  <c r="C55" i="2"/>
  <c r="I76" i="1" l="1"/>
  <c r="B56" i="2"/>
  <c r="C56" i="2"/>
  <c r="D56" i="2"/>
  <c r="E61" i="2"/>
  <c r="I77" i="1" l="1"/>
  <c r="D57" i="2"/>
  <c r="D58" i="2" s="1"/>
  <c r="D59" i="2" s="1"/>
  <c r="D60" i="2" s="1"/>
  <c r="D61" i="2" s="1"/>
  <c r="D62" i="2" s="1"/>
  <c r="E62" i="2"/>
  <c r="B57" i="2"/>
  <c r="C57" i="2"/>
  <c r="I81" i="1" l="1"/>
  <c r="I83" i="1" s="1"/>
  <c r="I103" i="1"/>
  <c r="I80" i="1"/>
  <c r="I88" i="1" s="1"/>
  <c r="C58" i="2"/>
  <c r="C59" i="2" s="1"/>
  <c r="C60" i="2" s="1"/>
  <c r="C61" i="2" s="1"/>
  <c r="C62" i="2" s="1"/>
  <c r="C63" i="2" s="1"/>
  <c r="J38" i="1" s="1"/>
  <c r="J45" i="1" s="1"/>
  <c r="J46" i="1" s="1"/>
  <c r="B58" i="2"/>
  <c r="B59" i="2" s="1"/>
  <c r="B60" i="2" s="1"/>
  <c r="B61" i="2" s="1"/>
  <c r="B62" i="2" s="1"/>
  <c r="B63" i="2" s="1"/>
  <c r="I82" i="1" l="1"/>
  <c r="I84" i="1" s="1"/>
  <c r="I99" i="1"/>
  <c r="I100" i="1" s="1"/>
  <c r="J37" i="1"/>
  <c r="J39" i="1" s="1"/>
  <c r="J49" i="1" s="1"/>
  <c r="K39" i="1"/>
  <c r="K49" i="1" s="1"/>
  <c r="K51" i="1" s="1"/>
  <c r="J50" i="1"/>
  <c r="J63" i="1"/>
  <c r="J67" i="1" s="1"/>
  <c r="J68" i="1" l="1" a="1"/>
  <c r="J68" i="1" s="1"/>
  <c r="J87" i="1" s="1" a="1"/>
  <c r="J87" i="1" s="1"/>
  <c r="J91" i="1" s="1"/>
  <c r="I102" i="1"/>
  <c r="K54" i="1"/>
  <c r="K71" i="1"/>
  <c r="K75" i="1"/>
  <c r="J51" i="1"/>
  <c r="J54" i="1" s="1"/>
  <c r="J92" i="1" l="1"/>
  <c r="K92" i="1"/>
  <c r="I104" i="1"/>
  <c r="K52" i="1"/>
  <c r="K62" i="1" s="1"/>
  <c r="J52" i="1"/>
  <c r="J62" i="1" s="1"/>
  <c r="J71" i="1"/>
  <c r="J72" i="1" s="1"/>
  <c r="K72" i="1" l="1"/>
  <c r="K76" i="1" s="1"/>
  <c r="K77" i="1" s="1"/>
  <c r="K81" i="1" s="1"/>
  <c r="K82" i="1" s="1"/>
  <c r="J76" i="1"/>
  <c r="K80" i="1" l="1"/>
  <c r="K103" i="1"/>
  <c r="J77" i="1"/>
  <c r="J81" i="1" l="1"/>
  <c r="J82" i="1" s="1"/>
  <c r="J84" i="1" s="1"/>
  <c r="J103" i="1"/>
  <c r="J80" i="1"/>
  <c r="J88" i="1" s="1"/>
  <c r="J83" i="1" l="1"/>
  <c r="J99" i="1"/>
  <c r="K99" i="1" l="1"/>
  <c r="K100" i="1" s="1"/>
  <c r="J100" i="1"/>
  <c r="J102" i="1" l="1"/>
  <c r="K102" i="1"/>
  <c r="K104" i="1" l="1"/>
  <c r="J1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Slava</author>
  </authors>
  <commentList>
    <comment ref="E5" authorId="0" shapeId="0" xr:uid="{CD279EEB-0F0D-4C91-BAE9-8EB92AA7DBD8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fällt nur an, wenn die Pool-Marge positiv war</t>
        </r>
      </text>
    </comment>
    <comment ref="E10" authorId="0" shapeId="0" xr:uid="{D0B46267-F1CB-4F75-AE5F-BBCBD2EBBB9E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gemessen am Rest der Gebühren nach Abzug für DEV</t>
        </r>
      </text>
    </comment>
    <comment ref="E11" authorId="0" shapeId="0" xr:uid="{02C86C7B-0542-4BAF-AA4F-A4C3EBCEF794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gemessen am Rest der Gebühren nach Abzug für DEV</t>
        </r>
      </text>
    </comment>
    <comment ref="B15" authorId="0" shapeId="0" xr:uid="{6105B9B6-107A-4E30-9057-C5BCF095D400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die ($B$3-1) in der Rechnung deswegen, weil der Pool-Creator keine Grundgebühr zahlt</t>
        </r>
      </text>
    </comment>
    <comment ref="E15" authorId="0" shapeId="0" xr:uid="{0DC1D90A-73F0-4180-8F3E-017846CDCCC0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ergibt sich aus den benefits für Inhaber eines PassNFTs</t>
        </r>
      </text>
    </comment>
    <comment ref="F15" authorId="0" shapeId="0" xr:uid="{BA2FAD2D-5B87-4DBD-ABEE-0AF6A9DE6BB3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noch komplett hard-coded und nur als pauschale Näherung zu verstehen</t>
        </r>
      </text>
    </comment>
    <comment ref="E16" authorId="0" shapeId="0" xr:uid="{60903B7A-962D-4E58-92E7-72B5D3CE98A4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ergibt sich aus den benefits für Inhaber eines PassNFTs</t>
        </r>
      </text>
    </comment>
    <comment ref="F16" authorId="0" shapeId="0" xr:uid="{4000BAD5-46FB-4ADE-8C65-33918A7CD923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noch komplett hard-coded und nur als pauschale Näherung zu verstehen</t>
        </r>
      </text>
    </comment>
    <comment ref="A27" authorId="0" shapeId="0" xr:uid="{A242F8CC-9FA4-41FC-A221-9D67CC2C9835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zweites &amp; drittes Jahr
</t>
        </r>
      </text>
    </comment>
    <comment ref="A28" authorId="0" shapeId="0" xr:uid="{4F17CD26-E757-4289-863D-1A1186E0C203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viertes &amp; fünftes Jahr</t>
        </r>
      </text>
    </comment>
    <comment ref="A29" authorId="0" shapeId="0" xr:uid="{4B8DC304-1C9A-45FF-882F-D3A4043E2B45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viertes &amp; fünftes Jahr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Slava</author>
  </authors>
  <commentList>
    <comment ref="E1" authorId="0" shapeId="0" xr:uid="{B14F348D-1729-4F82-A7C6-89BE2BBB0888}">
      <text>
        <r>
          <rPr>
            <b/>
            <sz val="9"/>
            <color indexed="81"/>
            <rFont val="Segoe UI"/>
            <family val="2"/>
          </rPr>
          <t>Slava:</t>
        </r>
        <r>
          <rPr>
            <sz val="9"/>
            <color indexed="81"/>
            <rFont val="Segoe UI"/>
            <family val="2"/>
          </rPr>
          <t xml:space="preserve">
Gehen stumpf davon aus, dass ab Monat 12 die Pools genau nach der angenommenen durchschnittleichen Pool-Lifetime (6 Monate) liquidiert werden.
Das ist aber rein statistisch für die hiesigen Zwecke völlig in Ordnung.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<sst xmlns="http://schemas.openxmlformats.org/spreadsheetml/2006/main" count="124" uniqueCount="114">
  <si>
    <t>Monat ab Launch</t>
  </si>
  <si>
    <t>Pools gesamt</t>
  </si>
  <si>
    <t>neue Pools</t>
  </si>
  <si>
    <t>liquidierte Pools</t>
  </si>
  <si>
    <t>offene Pools gesamt</t>
  </si>
  <si>
    <t>monthly growth I</t>
  </si>
  <si>
    <t>monthly growth II</t>
  </si>
  <si>
    <t>periods</t>
  </si>
  <si>
    <t>total months</t>
  </si>
  <si>
    <t>AVG pool lifetime</t>
  </si>
  <si>
    <t>6 moths</t>
  </si>
  <si>
    <t>revenue per pool</t>
  </si>
  <si>
    <t>fees split</t>
  </si>
  <si>
    <t>min staker share</t>
  </si>
  <si>
    <t>max staker share</t>
  </si>
  <si>
    <t>after 3 months</t>
  </si>
  <si>
    <t>after 12 months</t>
  </si>
  <si>
    <t>after 6 months</t>
  </si>
  <si>
    <t>after 2 years</t>
  </si>
  <si>
    <t>after 5 years</t>
  </si>
  <si>
    <t>after 4 years</t>
  </si>
  <si>
    <t>after 3 years</t>
  </si>
  <si>
    <t>moths after launch</t>
  </si>
  <si>
    <t>pools</t>
  </si>
  <si>
    <t>fees</t>
  </si>
  <si>
    <t>project overhead</t>
  </si>
  <si>
    <t>staker</t>
  </si>
  <si>
    <t>token contract</t>
  </si>
  <si>
    <t>total pools</t>
  </si>
  <si>
    <t>active pools</t>
  </si>
  <si>
    <t>already liquidated pools</t>
  </si>
  <si>
    <t>revenue</t>
  </si>
  <si>
    <t>pool assumptions</t>
  </si>
  <si>
    <t>expected members per pool</t>
  </si>
  <si>
    <t>expected deposit per 
member &amp; pool</t>
  </si>
  <si>
    <t>exp. pool lifetime (months)</t>
  </si>
  <si>
    <t>exp. trades within lifetime</t>
  </si>
  <si>
    <t>exp. trades volume
(relative to pool funds)</t>
  </si>
  <si>
    <t>exp. margin on invests (p.a.)</t>
  </si>
  <si>
    <t>exp. margin within lifetime</t>
  </si>
  <si>
    <t>fees model</t>
  </si>
  <si>
    <t>deposit fee 
(except creator)</t>
  </si>
  <si>
    <t>trading fee</t>
  </si>
  <si>
    <t>margin fee</t>
  </si>
  <si>
    <t>share for DEV (WunderPass)</t>
  </si>
  <si>
    <t>avg $$$ from deposit fees</t>
  </si>
  <si>
    <t>CRM</t>
  </si>
  <si>
    <t>deposit fee discount</t>
  </si>
  <si>
    <t>other fees discount</t>
  </si>
  <si>
    <t>exp. total initial pool funds</t>
  </si>
  <si>
    <t>avg $$$ from trading fees</t>
  </si>
  <si>
    <t>avg $$$ from margin fees</t>
  </si>
  <si>
    <t>avg $$$ from total pool fees</t>
  </si>
  <si>
    <t>launch</t>
  </si>
  <si>
    <t>tokens</t>
  </si>
  <si>
    <t>hard revenue (WunderPass)</t>
  </si>
  <si>
    <t>yearly revenue</t>
  </si>
  <si>
    <t>token contract's revenue share</t>
  </si>
  <si>
    <t>token contract's yearly revenue</t>
  </si>
  <si>
    <t>staking</t>
  </si>
  <si>
    <t>stake-fee-rate</t>
  </si>
  <si>
    <t>avg stake per pool</t>
  </si>
  <si>
    <t>total yearly revenue</t>
  </si>
  <si>
    <t>locked funds (end of period)</t>
  </si>
  <si>
    <t>total paid fees</t>
  </si>
  <si>
    <t>total pending fees</t>
  </si>
  <si>
    <t>total supposed fees</t>
  </si>
  <si>
    <t>vested funds (end of period)</t>
  </si>
  <si>
    <t xml:space="preserve">token contract's treasury </t>
  </si>
  <si>
    <t>total funds (target end of period)</t>
  </si>
  <si>
    <t>treasury funding</t>
  </si>
  <si>
    <t>treasury revenue</t>
  </si>
  <si>
    <t>operating business</t>
  </si>
  <si>
    <t>funding from token holders</t>
  </si>
  <si>
    <t>funding from revenue</t>
  </si>
  <si>
    <t>funding from token minting</t>
  </si>
  <si>
    <t>beneficiary</t>
  </si>
  <si>
    <t>token holders revenue share</t>
  </si>
  <si>
    <t>new investors revenue share</t>
  </si>
  <si>
    <t>token holders revenue</t>
  </si>
  <si>
    <t>new investors revenue</t>
  </si>
  <si>
    <t>treasury's EBIT</t>
  </si>
  <si>
    <t>max active pools (saturation)</t>
  </si>
  <si>
    <t>token curves</t>
  </si>
  <si>
    <t>wanted token value (end of period)</t>
  </si>
  <si>
    <t>backed supply (end of period)</t>
  </si>
  <si>
    <t>minted tokens</t>
  </si>
  <si>
    <t>funds from minted tokens</t>
  </si>
  <si>
    <t>avg minted token value</t>
  </si>
  <si>
    <t>token value</t>
  </si>
  <si>
    <t>contract treasury</t>
  </si>
  <si>
    <t>min supply</t>
  </si>
  <si>
    <t>max supply</t>
  </si>
  <si>
    <t>purchase curve
(start price per token)</t>
  </si>
  <si>
    <t>purchase curve
(end price per token)</t>
  </si>
  <si>
    <t>selling curve
(start price per token)</t>
  </si>
  <si>
    <t>selling curve
(end price per token)</t>
  </si>
  <si>
    <t>funding tranche</t>
  </si>
  <si>
    <t>founders presale volume</t>
  </si>
  <si>
    <t>founders presale price</t>
  </si>
  <si>
    <t>investors presale volume</t>
  </si>
  <si>
    <t>wanted growth funding</t>
  </si>
  <si>
    <t>wanted token value
after growth period</t>
  </si>
  <si>
    <t>avg token price growth period</t>
  </si>
  <si>
    <t>supply after growth period</t>
  </si>
  <si>
    <t>tokens for founders</t>
  </si>
  <si>
    <t>tokens for earky investors</t>
  </si>
  <si>
    <t>curves coefficient</t>
  </si>
  <si>
    <t>token tranche</t>
  </si>
  <si>
    <t>pct of lookup value</t>
  </si>
  <si>
    <t>wanteded price gain</t>
  </si>
  <si>
    <t>wanteded price gain II</t>
  </si>
  <si>
    <t>expecteded price gain</t>
  </si>
  <si>
    <t>project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</si>
</sst>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$-409]#,##0.00;[Red][$$-409]#,##0.00"/>
    <numFmt numFmtId="165" formatCode="0.0%"/>
    <numFmt numFmtId="166" formatCode="[$$-409]#,##0"/>
    <numFmt numFmtId="167" formatCode="[$$-409]#,##0;[Red][$$-409]#,##0"/>
    <numFmt numFmtId="168" formatCode="0.00\ &quot;ct&quot;"/>
    <numFmt numFmtId="169" formatCode="#,##0\ [$₿]" x16r2:formatCode16="#,##0\ [$₿-x-xbt1]"/>
    <numFmt numFmtId="170" formatCode="0.0000"/>
    <numFmt numFmtId="171" formatCode="0.00000"/>
    <numFmt numFmtId="172" formatCode="0.000\ &quot;ct&quot;"/>
  </numFmts>
  <fonts count="3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2"/>
      <color theme="9" tint="-0.24997711111789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rgb="FFFF0000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5" tint="0.3999755851924192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9" tint="-0.249977111117893"/>
      <name val="Calibri"/>
      <family val="2"/>
      <scheme val="minor"/>
    </font>
    <font>
      <i/>
      <sz val="11"/>
      <color theme="9" tint="0.3999755851924192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8" tint="-0.499984740745262"/>
      <name val="Calibri"/>
      <family val="2"/>
      <scheme val="minor"/>
    </font>
    <font>
      <i/>
      <sz val="10"/>
      <color theme="9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Fill="1"/>
    <xf numFmtId="0" fontId="4" fillId="0" borderId="0" xfId="0" applyFont="1"/>
    <xf numFmtId="0" fontId="5" fillId="0" borderId="0" xfId="0" applyFont="1"/>
    <xf numFmtId="1" fontId="6" fillId="0" borderId="0" xfId="0" applyNumberFormat="1" applyFont="1"/>
    <xf numFmtId="1" fontId="8" fillId="0" borderId="0" xfId="0" applyNumberFormat="1" applyFont="1"/>
    <xf numFmtId="0" fontId="9" fillId="0" borderId="0" xfId="0" applyFont="1"/>
    <xf numFmtId="0" fontId="11" fillId="0" borderId="0" xfId="0" applyFont="1"/>
    <xf numFmtId="0" fontId="3" fillId="0" borderId="0" xfId="0" applyFont="1"/>
    <xf numFmtId="0" fontId="12" fillId="0" borderId="0" xfId="0" applyFont="1"/>
    <xf numFmtId="3" fontId="10" fillId="0" borderId="0" xfId="0" applyNumberFormat="1" applyFont="1"/>
    <xf numFmtId="3" fontId="9" fillId="0" borderId="0" xfId="0" applyNumberFormat="1" applyFont="1"/>
    <xf numFmtId="3" fontId="0" fillId="0" borderId="0" xfId="0" applyNumberFormat="1"/>
    <xf numFmtId="165" fontId="3" fillId="0" borderId="0" xfId="0" applyNumberFormat="1" applyFont="1"/>
    <xf numFmtId="0" fontId="1" fillId="0" borderId="0" xfId="0" applyFont="1"/>
    <xf numFmtId="0" fontId="15" fillId="0" borderId="0" xfId="0" applyFont="1"/>
    <xf numFmtId="0" fontId="7" fillId="0" borderId="0" xfId="0" applyFont="1" applyFill="1"/>
    <xf numFmtId="0" fontId="16" fillId="0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21" fillId="0" borderId="0" xfId="0" applyFont="1" applyFill="1"/>
    <xf numFmtId="0" fontId="22" fillId="0" borderId="0" xfId="0" applyFont="1" applyFill="1"/>
    <xf numFmtId="165" fontId="9" fillId="0" borderId="0" xfId="0" applyNumberFormat="1" applyFont="1"/>
    <xf numFmtId="0" fontId="23" fillId="0" borderId="0" xfId="0" applyFont="1"/>
    <xf numFmtId="166" fontId="0" fillId="0" borderId="0" xfId="0" applyNumberFormat="1"/>
    <xf numFmtId="167" fontId="3" fillId="0" borderId="0" xfId="0" applyNumberFormat="1" applyFont="1"/>
    <xf numFmtId="10" fontId="3" fillId="0" borderId="0" xfId="0" applyNumberFormat="1" applyFont="1"/>
    <xf numFmtId="0" fontId="17" fillId="0" borderId="0" xfId="0" applyFont="1" applyAlignment="1">
      <alignment wrapText="1"/>
    </xf>
    <xf numFmtId="0" fontId="25" fillId="0" borderId="0" xfId="0" applyFont="1" applyFill="1"/>
    <xf numFmtId="0" fontId="24" fillId="0" borderId="0" xfId="0" applyFont="1" applyFill="1"/>
    <xf numFmtId="164" fontId="26" fillId="0" borderId="0" xfId="0" applyNumberFormat="1" applyFont="1"/>
    <xf numFmtId="10" fontId="26" fillId="0" borderId="0" xfId="0" applyNumberFormat="1" applyFont="1"/>
    <xf numFmtId="167" fontId="26" fillId="0" borderId="0" xfId="0" applyNumberFormat="1" applyFont="1"/>
    <xf numFmtId="164" fontId="27" fillId="0" borderId="0" xfId="0" applyNumberFormat="1" applyFont="1"/>
    <xf numFmtId="0" fontId="24" fillId="0" borderId="0" xfId="0" applyFont="1"/>
    <xf numFmtId="168" fontId="26" fillId="0" borderId="0" xfId="0" applyNumberFormat="1" applyFont="1"/>
    <xf numFmtId="169" fontId="0" fillId="0" borderId="0" xfId="0" applyNumberFormat="1"/>
    <xf numFmtId="166" fontId="28" fillId="0" borderId="0" xfId="0" applyNumberFormat="1" applyFont="1"/>
    <xf numFmtId="165" fontId="29" fillId="0" borderId="0" xfId="0" applyNumberFormat="1" applyFont="1"/>
    <xf numFmtId="0" fontId="25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 applyFill="1"/>
    <xf numFmtId="2" fontId="0" fillId="0" borderId="0" xfId="0" applyNumberFormat="1"/>
    <xf numFmtId="3" fontId="3" fillId="0" borderId="0" xfId="0" applyNumberFormat="1" applyFont="1"/>
    <xf numFmtId="10" fontId="0" fillId="0" borderId="0" xfId="0" applyNumberFormat="1" applyFont="1"/>
    <xf numFmtId="168" fontId="29" fillId="0" borderId="0" xfId="0" applyNumberFormat="1" applyFont="1"/>
    <xf numFmtId="168" fontId="28" fillId="0" borderId="0" xfId="0" applyNumberFormat="1" applyFont="1"/>
    <xf numFmtId="2" fontId="29" fillId="0" borderId="0" xfId="0" applyNumberFormat="1" applyFont="1"/>
    <xf numFmtId="168" fontId="0" fillId="0" borderId="0" xfId="0" applyNumberFormat="1"/>
    <xf numFmtId="170" fontId="0" fillId="0" borderId="0" xfId="0" applyNumberFormat="1"/>
    <xf numFmtId="1" fontId="0" fillId="0" borderId="0" xfId="0" applyNumberFormat="1"/>
    <xf numFmtId="171" fontId="0" fillId="0" borderId="0" xfId="0" applyNumberFormat="1"/>
    <xf numFmtId="170" fontId="28" fillId="0" borderId="0" xfId="0" applyNumberFormat="1" applyFont="1"/>
    <xf numFmtId="172" fontId="0" fillId="0" borderId="0" xfId="0" applyNumberFormat="1"/>
    <xf numFmtId="0" fontId="25" fillId="0" borderId="0" xfId="0" applyFont="1" applyAlignment="1">
      <alignment wrapText="1"/>
    </xf>
    <xf numFmtId="0" fontId="18" fillId="0" borderId="0" xfId="0" applyFont="1" applyFill="1"/>
    <xf numFmtId="166" fontId="2" fillId="0" borderId="0" xfId="0" applyNumberFormat="1" applyFont="1"/>
    <xf numFmtId="168" fontId="2" fillId="0" borderId="0" xfId="0" applyNumberFormat="1" applyFont="1"/>
    <xf numFmtId="0" fontId="18" fillId="0" borderId="0" xfId="0" applyFont="1" applyFill="1" applyAlignment="1">
      <alignment wrapText="1"/>
    </xf>
    <xf numFmtId="0" fontId="34" fillId="0" borderId="0" xfId="0" applyFont="1" applyFill="1"/>
    <xf numFmtId="169" fontId="33" fillId="0" borderId="0" xfId="0" applyNumberFormat="1" applyFont="1"/>
    <xf numFmtId="169" fontId="2" fillId="0" borderId="0" xfId="0" applyNumberFormat="1" applyFont="1"/>
    <xf numFmtId="172" fontId="26" fillId="0" borderId="0" xfId="0" applyNumberFormat="1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1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8E80-041F-4FA3-8EB9-62C493468C75}">
  <dimension ref="A2:O147"/>
  <sheetViews>
    <sheetView tabSelected="1" topLeftCell="A76" workbookViewId="0">
      <selection activeCell="G94" sqref="G94:K94"/>
    </sheetView>
  </sheetViews>
  <sheetFormatPr baseColWidth="10" defaultRowHeight="15" x14ac:dyDescent="0.25"/>
  <cols>
    <col min="1" max="1" width="27.85546875" customWidth="1"/>
    <col min="2" max="2" width="11.42578125" customWidth="1"/>
    <col min="3" max="3" width="16" customWidth="1"/>
    <col min="4" max="4" width="15" customWidth="1"/>
    <col min="5" max="5" width="18.5703125" customWidth="1"/>
    <col min="6" max="6" width="16.7109375" customWidth="1"/>
    <col min="7" max="7" width="13.85546875" customWidth="1"/>
    <col min="8" max="8" width="14.7109375" customWidth="1"/>
    <col min="9" max="9" width="14.85546875" customWidth="1"/>
    <col min="10" max="10" width="14.7109375" customWidth="1"/>
    <col min="11" max="11" width="15.42578125" customWidth="1"/>
    <col min="13" max="13" width="13.7109375" bestFit="1" customWidth="1"/>
    <col min="14" max="14" width="13.85546875" customWidth="1"/>
    <col min="15" max="15" width="12.85546875" customWidth="1"/>
  </cols>
  <sheetData>
    <row r="2" spans="1:6" x14ac:dyDescent="0.25">
      <c r="A2" s="19" t="s">
        <v>32</v>
      </c>
      <c r="E2" s="17" t="s">
        <v>40</v>
      </c>
    </row>
    <row r="3" spans="1:6" ht="30" x14ac:dyDescent="0.25">
      <c r="A3" s="1" t="s">
        <v>33</v>
      </c>
      <c r="B3" s="8">
        <v>4.5</v>
      </c>
      <c r="E3" s="31" t="s">
        <v>41</v>
      </c>
      <c r="F3" s="30">
        <v>1.9E-2</v>
      </c>
    </row>
    <row r="4" spans="1:6" ht="30" x14ac:dyDescent="0.25">
      <c r="A4" s="22" t="s">
        <v>34</v>
      </c>
      <c r="B4" s="29">
        <v>200</v>
      </c>
      <c r="E4" s="18" t="s">
        <v>42</v>
      </c>
      <c r="F4" s="30">
        <v>2.5000000000000001E-3</v>
      </c>
    </row>
    <row r="5" spans="1:6" x14ac:dyDescent="0.25">
      <c r="A5" s="1" t="s">
        <v>49</v>
      </c>
      <c r="B5" s="36">
        <f>$B$3*$B$4</f>
        <v>900</v>
      </c>
      <c r="E5" s="18" t="s">
        <v>43</v>
      </c>
      <c r="F5" s="30">
        <v>8.8999999999999996E-2</v>
      </c>
    </row>
    <row r="6" spans="1:6" x14ac:dyDescent="0.25">
      <c r="A6" s="1" t="s">
        <v>35</v>
      </c>
      <c r="B6" s="8">
        <v>6</v>
      </c>
    </row>
    <row r="7" spans="1:6" x14ac:dyDescent="0.25">
      <c r="A7" s="1" t="s">
        <v>36</v>
      </c>
      <c r="B7" s="8">
        <v>12</v>
      </c>
    </row>
    <row r="8" spans="1:6" ht="30" x14ac:dyDescent="0.25">
      <c r="A8" s="22" t="s">
        <v>37</v>
      </c>
      <c r="B8" s="13">
        <v>0.33300000000000002</v>
      </c>
      <c r="E8" s="17" t="s">
        <v>12</v>
      </c>
      <c r="F8" s="17"/>
    </row>
    <row r="9" spans="1:6" ht="30" x14ac:dyDescent="0.25">
      <c r="A9" s="1" t="s">
        <v>38</v>
      </c>
      <c r="B9" s="30">
        <v>5.5E-2</v>
      </c>
      <c r="E9" s="23" t="s">
        <v>44</v>
      </c>
      <c r="F9" s="13">
        <v>0.1</v>
      </c>
    </row>
    <row r="10" spans="1:6" x14ac:dyDescent="0.25">
      <c r="A10" s="1" t="s">
        <v>39</v>
      </c>
      <c r="B10" s="35">
        <f>(1+$B$9)^($B$6/12)-1</f>
        <v>2.7131929208706884E-2</v>
      </c>
      <c r="E10" s="18" t="s">
        <v>13</v>
      </c>
      <c r="F10" s="13">
        <v>0.33</v>
      </c>
    </row>
    <row r="11" spans="1:6" x14ac:dyDescent="0.25">
      <c r="E11" s="18" t="s">
        <v>14</v>
      </c>
      <c r="F11" s="13">
        <v>0.5</v>
      </c>
    </row>
    <row r="14" spans="1:6" x14ac:dyDescent="0.25">
      <c r="A14" s="32" t="s">
        <v>11</v>
      </c>
      <c r="E14" s="24" t="s">
        <v>46</v>
      </c>
    </row>
    <row r="15" spans="1:6" x14ac:dyDescent="0.25">
      <c r="A15" s="33" t="s">
        <v>45</v>
      </c>
      <c r="B15" s="34">
        <f>(1-$F$15) * $F$3 * ($B$3-1) * $B$4</f>
        <v>11.97</v>
      </c>
      <c r="E15" s="25" t="s">
        <v>47</v>
      </c>
      <c r="F15" s="13">
        <v>0.1</v>
      </c>
    </row>
    <row r="16" spans="1:6" x14ac:dyDescent="0.25">
      <c r="A16" s="33" t="s">
        <v>50</v>
      </c>
      <c r="B16" s="34">
        <f>(1-$F$16) * $F$4 * $B$7 * $B$8 * $B$5</f>
        <v>7.8671250000000006</v>
      </c>
      <c r="E16" s="25" t="s">
        <v>48</v>
      </c>
      <c r="F16" s="13">
        <v>0.125</v>
      </c>
    </row>
    <row r="17" spans="1:10" x14ac:dyDescent="0.25">
      <c r="A17" s="33" t="s">
        <v>51</v>
      </c>
      <c r="B17" s="34">
        <f>(1-$F$16) * $F$5 * $B$10 * $B$5</f>
        <v>1.9016090884152439</v>
      </c>
    </row>
    <row r="18" spans="1:10" x14ac:dyDescent="0.25">
      <c r="A18" s="33" t="s">
        <v>52</v>
      </c>
      <c r="B18" s="37">
        <f>$B$15+$B$16+$B$17</f>
        <v>21.738734088415246</v>
      </c>
      <c r="E18" s="19" t="s">
        <v>59</v>
      </c>
    </row>
    <row r="19" spans="1:10" x14ac:dyDescent="0.25">
      <c r="E19" s="1" t="s">
        <v>60</v>
      </c>
      <c r="F19" s="13">
        <v>2</v>
      </c>
    </row>
    <row r="20" spans="1:10" x14ac:dyDescent="0.25">
      <c r="E20" s="1" t="s">
        <v>61</v>
      </c>
      <c r="F20" s="37">
        <f>$B$18 * $F$19</f>
        <v>43.477468176830492</v>
      </c>
    </row>
    <row r="22" spans="1:10" x14ac:dyDescent="0.25">
      <c r="A22" s="24" t="s">
        <v>7</v>
      </c>
    </row>
    <row r="23" spans="1:10" x14ac:dyDescent="0.25">
      <c r="A23" s="25" t="s">
        <v>8</v>
      </c>
      <c r="B23" s="8">
        <v>60</v>
      </c>
    </row>
    <row r="24" spans="1:10" x14ac:dyDescent="0.25">
      <c r="A24" s="25" t="s">
        <v>9</v>
      </c>
      <c r="B24" s="8" t="s">
        <v>10</v>
      </c>
    </row>
    <row r="27" spans="1:10" x14ac:dyDescent="0.25">
      <c r="A27" s="1" t="s">
        <v>5</v>
      </c>
      <c r="B27" s="13">
        <v>0.2</v>
      </c>
    </row>
    <row r="28" spans="1:10" x14ac:dyDescent="0.25">
      <c r="A28" s="1" t="s">
        <v>6</v>
      </c>
      <c r="B28" s="13">
        <v>0.13300000000000001</v>
      </c>
    </row>
    <row r="29" spans="1:10" x14ac:dyDescent="0.25">
      <c r="A29" s="1" t="s">
        <v>82</v>
      </c>
      <c r="B29" s="48">
        <v>500000</v>
      </c>
    </row>
    <row r="30" spans="1:10" x14ac:dyDescent="0.25">
      <c r="A30" s="1"/>
      <c r="B30" s="13"/>
    </row>
    <row r="32" spans="1:10" x14ac:dyDescent="0.25">
      <c r="C32" s="2" t="s">
        <v>53</v>
      </c>
      <c r="D32" s="2" t="s">
        <v>15</v>
      </c>
      <c r="E32" s="2" t="s">
        <v>17</v>
      </c>
      <c r="F32" s="2" t="s">
        <v>16</v>
      </c>
      <c r="G32" s="2" t="s">
        <v>18</v>
      </c>
      <c r="H32" s="2" t="s">
        <v>21</v>
      </c>
      <c r="I32" s="2" t="s">
        <v>20</v>
      </c>
      <c r="J32" s="2" t="s">
        <v>19</v>
      </c>
    </row>
    <row r="33" spans="1:11" x14ac:dyDescent="0.25">
      <c r="D33" s="2"/>
      <c r="E33" s="2"/>
      <c r="F33" s="2"/>
      <c r="G33" s="2"/>
      <c r="H33" s="2"/>
      <c r="I33" s="2"/>
      <c r="J33" s="2"/>
    </row>
    <row r="34" spans="1:11" x14ac:dyDescent="0.25">
      <c r="A34" s="20" t="s">
        <v>22</v>
      </c>
      <c r="C34" s="19">
        <v>0</v>
      </c>
      <c r="D34" s="19">
        <v>3</v>
      </c>
      <c r="E34" s="19">
        <v>6</v>
      </c>
      <c r="F34" s="19">
        <v>12</v>
      </c>
      <c r="G34" s="19">
        <v>24</v>
      </c>
      <c r="H34" s="19">
        <v>36</v>
      </c>
      <c r="I34" s="19">
        <v>48</v>
      </c>
      <c r="J34" s="19">
        <f>$B$23</f>
        <v>60</v>
      </c>
    </row>
    <row r="35" spans="1:11" x14ac:dyDescent="0.25">
      <c r="A35" s="3"/>
      <c r="D35" s="7"/>
      <c r="E35" s="7"/>
      <c r="F35" s="7"/>
      <c r="G35" s="7"/>
      <c r="H35" s="7"/>
      <c r="I35" s="7"/>
      <c r="J35" s="7"/>
    </row>
    <row r="36" spans="1:11" x14ac:dyDescent="0.25">
      <c r="A36" s="21" t="s">
        <v>23</v>
      </c>
      <c r="D36" s="7"/>
      <c r="E36" s="7"/>
      <c r="F36" s="7"/>
      <c r="G36" s="7"/>
      <c r="H36" s="7"/>
      <c r="I36" s="7"/>
      <c r="J36" s="7"/>
    </row>
    <row r="37" spans="1:11" x14ac:dyDescent="0.25">
      <c r="A37" s="3" t="s">
        <v>28</v>
      </c>
      <c r="D37" s="6">
        <v>50</v>
      </c>
      <c r="E37" s="6">
        <v>150</v>
      </c>
      <c r="F37" s="6">
        <v>500</v>
      </c>
      <c r="G37" s="12">
        <f>'Pool-Simulator'!$B$27</f>
        <v>4071</v>
      </c>
      <c r="H37" s="12">
        <f>'Pool-Simulator'!$B$39</f>
        <v>35936</v>
      </c>
      <c r="I37" s="12">
        <f>'Pool-Simulator'!$B$51</f>
        <v>212994</v>
      </c>
      <c r="J37" s="12">
        <f>'Pool-Simulator'!$B$63</f>
        <v>1005262</v>
      </c>
      <c r="K37" s="12">
        <v>1500000</v>
      </c>
    </row>
    <row r="38" spans="1:11" x14ac:dyDescent="0.25">
      <c r="A38" s="3" t="s">
        <v>29</v>
      </c>
      <c r="D38" s="12">
        <f>'Pool-Simulator'!$C$6</f>
        <v>40</v>
      </c>
      <c r="E38" s="12">
        <f>'Pool-Simulator'!$C$9</f>
        <v>100</v>
      </c>
      <c r="F38" s="12">
        <f>'Pool-Simulator'!$C$15</f>
        <v>350</v>
      </c>
      <c r="G38" s="12">
        <f>'Pool-Simulator'!$C$27</f>
        <v>2676</v>
      </c>
      <c r="H38" s="12">
        <f>'Pool-Simulator'!$C$39</f>
        <v>23872</v>
      </c>
      <c r="I38" s="12">
        <f>MIN('Pool-Simulator'!$C$51,$B$29)</f>
        <v>120223</v>
      </c>
      <c r="J38" s="12">
        <f>MIN('Pool-Simulator'!$C$63,$B$29)</f>
        <v>500000</v>
      </c>
      <c r="K38" s="12">
        <f>$B$29</f>
        <v>500000</v>
      </c>
    </row>
    <row r="39" spans="1:11" x14ac:dyDescent="0.25">
      <c r="A39" s="3" t="s">
        <v>30</v>
      </c>
      <c r="D39" s="12">
        <f>D37-D38</f>
        <v>10</v>
      </c>
      <c r="E39" s="12">
        <f t="shared" ref="E39:J39" si="0">E37-E38</f>
        <v>50</v>
      </c>
      <c r="F39" s="12">
        <f t="shared" si="0"/>
        <v>150</v>
      </c>
      <c r="G39" s="12">
        <f t="shared" si="0"/>
        <v>1395</v>
      </c>
      <c r="H39" s="12">
        <f t="shared" si="0"/>
        <v>12064</v>
      </c>
      <c r="I39" s="12">
        <f t="shared" si="0"/>
        <v>92771</v>
      </c>
      <c r="J39" s="12">
        <f t="shared" si="0"/>
        <v>505262</v>
      </c>
      <c r="K39" s="12">
        <f>'Pool-Simulator'!$B$63</f>
        <v>1005262</v>
      </c>
    </row>
    <row r="41" spans="1:11" x14ac:dyDescent="0.25">
      <c r="A41" s="17" t="s">
        <v>24</v>
      </c>
    </row>
    <row r="43" spans="1:11" x14ac:dyDescent="0.25">
      <c r="A43" s="16" t="s">
        <v>12</v>
      </c>
    </row>
    <row r="44" spans="1:11" x14ac:dyDescent="0.25">
      <c r="A44" s="27" t="s">
        <v>25</v>
      </c>
      <c r="D44" s="26">
        <f t="shared" ref="D44:K44" si="1">$F$9</f>
        <v>0.1</v>
      </c>
      <c r="E44" s="26">
        <f t="shared" si="1"/>
        <v>0.1</v>
      </c>
      <c r="F44" s="26">
        <f t="shared" si="1"/>
        <v>0.1</v>
      </c>
      <c r="G44" s="26">
        <f t="shared" si="1"/>
        <v>0.1</v>
      </c>
      <c r="H44" s="26">
        <f t="shared" si="1"/>
        <v>0.1</v>
      </c>
      <c r="I44" s="26">
        <f t="shared" si="1"/>
        <v>0.1</v>
      </c>
      <c r="J44" s="26">
        <f t="shared" si="1"/>
        <v>0.1</v>
      </c>
      <c r="K44" s="26">
        <f t="shared" si="1"/>
        <v>0.1</v>
      </c>
    </row>
    <row r="45" spans="1:11" x14ac:dyDescent="0.25">
      <c r="A45" s="27" t="s">
        <v>26</v>
      </c>
      <c r="D45" s="49">
        <f t="shared" ref="D45:K45" si="2">(1-D44) * $F$11 * (($F$10/$F$11)^(D38/$B$29))</f>
        <v>0.44998504169263503</v>
      </c>
      <c r="E45" s="49">
        <f t="shared" si="2"/>
        <v>0.44996260516387815</v>
      </c>
      <c r="F45" s="49">
        <f t="shared" si="2"/>
        <v>0.44986913166830927</v>
      </c>
      <c r="G45" s="49">
        <f t="shared" si="2"/>
        <v>0.44900038450851137</v>
      </c>
      <c r="H45" s="49">
        <f t="shared" si="2"/>
        <v>0.44116070231400611</v>
      </c>
      <c r="I45" s="49">
        <f t="shared" si="2"/>
        <v>0.407213882128168</v>
      </c>
      <c r="J45" s="49">
        <f t="shared" si="2"/>
        <v>0.29700000000000004</v>
      </c>
      <c r="K45" s="49">
        <f t="shared" si="2"/>
        <v>0.29700000000000004</v>
      </c>
    </row>
    <row r="46" spans="1:11" x14ac:dyDescent="0.25">
      <c r="A46" s="27" t="s">
        <v>27</v>
      </c>
      <c r="D46" s="49">
        <f>1-D44-D45</f>
        <v>0.45001495830736499</v>
      </c>
      <c r="E46" s="49">
        <f t="shared" ref="E46:K46" si="3">1-E44-E45</f>
        <v>0.45003739483612187</v>
      </c>
      <c r="F46" s="49">
        <f t="shared" si="3"/>
        <v>0.45013086833169075</v>
      </c>
      <c r="G46" s="49">
        <f t="shared" si="3"/>
        <v>0.45099961549148865</v>
      </c>
      <c r="H46" s="49">
        <f t="shared" si="3"/>
        <v>0.45883929768599391</v>
      </c>
      <c r="I46" s="49">
        <f t="shared" si="3"/>
        <v>0.49278611787183202</v>
      </c>
      <c r="J46" s="49">
        <f t="shared" si="3"/>
        <v>0.60299999999999998</v>
      </c>
      <c r="K46" s="49">
        <f t="shared" si="3"/>
        <v>0.60299999999999998</v>
      </c>
    </row>
    <row r="48" spans="1:11" x14ac:dyDescent="0.25">
      <c r="A48" s="16" t="s">
        <v>31</v>
      </c>
    </row>
    <row r="49" spans="1:11" x14ac:dyDescent="0.25">
      <c r="A49" s="27" t="s">
        <v>64</v>
      </c>
      <c r="D49" s="28">
        <f t="shared" ref="D49:K49" si="4">D39*$B$18</f>
        <v>217.38734088415245</v>
      </c>
      <c r="E49" s="28">
        <f t="shared" si="4"/>
        <v>1086.9367044207622</v>
      </c>
      <c r="F49" s="28">
        <f t="shared" si="4"/>
        <v>3260.8101132622869</v>
      </c>
      <c r="G49" s="28">
        <f t="shared" si="4"/>
        <v>30325.534053339266</v>
      </c>
      <c r="H49" s="28">
        <f t="shared" si="4"/>
        <v>262256.08804264152</v>
      </c>
      <c r="I49" s="28">
        <f t="shared" si="4"/>
        <v>2016724.1001163707</v>
      </c>
      <c r="J49" s="28">
        <f t="shared" si="4"/>
        <v>10983756.262980863</v>
      </c>
      <c r="K49" s="28">
        <f t="shared" si="4"/>
        <v>21853123.307188489</v>
      </c>
    </row>
    <row r="50" spans="1:11" x14ac:dyDescent="0.25">
      <c r="A50" s="27" t="s">
        <v>65</v>
      </c>
      <c r="D50" s="28">
        <f t="shared" ref="D50:K50" si="5">D38*$B$18</f>
        <v>869.5493635366098</v>
      </c>
      <c r="E50" s="28">
        <f t="shared" si="5"/>
        <v>2173.8734088415245</v>
      </c>
      <c r="F50" s="28">
        <f t="shared" si="5"/>
        <v>7608.5569309453358</v>
      </c>
      <c r="G50" s="28">
        <f t="shared" si="5"/>
        <v>58172.8524205992</v>
      </c>
      <c r="H50" s="28">
        <f t="shared" si="5"/>
        <v>518947.06015864876</v>
      </c>
      <c r="I50" s="28">
        <f t="shared" si="5"/>
        <v>2613495.8283115462</v>
      </c>
      <c r="J50" s="28">
        <f t="shared" si="5"/>
        <v>10869367.044207623</v>
      </c>
      <c r="K50" s="28">
        <f t="shared" si="5"/>
        <v>10869367.044207623</v>
      </c>
    </row>
    <row r="51" spans="1:11" x14ac:dyDescent="0.25">
      <c r="A51" s="27" t="s">
        <v>66</v>
      </c>
      <c r="D51" s="28">
        <f>D49+D50</f>
        <v>1086.9367044207622</v>
      </c>
      <c r="E51" s="28">
        <f t="shared" ref="E51:K51" si="6">E49+E50</f>
        <v>3260.8101132622869</v>
      </c>
      <c r="F51" s="28">
        <f t="shared" si="6"/>
        <v>10869.367044207622</v>
      </c>
      <c r="G51" s="28">
        <f t="shared" si="6"/>
        <v>88498.386473938474</v>
      </c>
      <c r="H51" s="28">
        <f t="shared" si="6"/>
        <v>781203.14820129029</v>
      </c>
      <c r="I51" s="28">
        <f t="shared" si="6"/>
        <v>4630219.928427917</v>
      </c>
      <c r="J51" s="28">
        <f t="shared" si="6"/>
        <v>21853123.307188489</v>
      </c>
      <c r="K51" s="28">
        <f t="shared" si="6"/>
        <v>32722490.351396114</v>
      </c>
    </row>
    <row r="52" spans="1:11" x14ac:dyDescent="0.25">
      <c r="A52" s="27" t="s">
        <v>56</v>
      </c>
      <c r="F52" s="28">
        <f>F51</f>
        <v>10869.367044207622</v>
      </c>
      <c r="G52" s="28">
        <f>G51-F51</f>
        <v>77629.019429730848</v>
      </c>
      <c r="H52" s="28">
        <f t="shared" ref="H52:K52" si="7">H51-G51</f>
        <v>692704.76172735181</v>
      </c>
      <c r="I52" s="28">
        <f t="shared" si="7"/>
        <v>3849016.7802266264</v>
      </c>
      <c r="J52" s="28">
        <f t="shared" si="7"/>
        <v>17222903.378760573</v>
      </c>
      <c r="K52" s="28">
        <f t="shared" si="7"/>
        <v>10869367.044207625</v>
      </c>
    </row>
    <row r="54" spans="1:11" x14ac:dyDescent="0.25">
      <c r="A54" s="27" t="s">
        <v>55</v>
      </c>
      <c r="D54" s="28">
        <f t="shared" ref="D54:K54" si="8">D44*D51</f>
        <v>108.69367044207623</v>
      </c>
      <c r="E54" s="28">
        <f t="shared" si="8"/>
        <v>326.08101132622869</v>
      </c>
      <c r="F54" s="28">
        <f t="shared" si="8"/>
        <v>1086.9367044207622</v>
      </c>
      <c r="G54" s="28">
        <f t="shared" si="8"/>
        <v>8849.8386473938481</v>
      </c>
      <c r="H54" s="28">
        <f t="shared" si="8"/>
        <v>78120.314820129031</v>
      </c>
      <c r="I54" s="28">
        <f t="shared" si="8"/>
        <v>463021.99284279172</v>
      </c>
      <c r="J54" s="28">
        <f t="shared" si="8"/>
        <v>2185312.3307188489</v>
      </c>
      <c r="K54" s="28">
        <f t="shared" si="8"/>
        <v>3272249.0351396115</v>
      </c>
    </row>
    <row r="59" spans="1:11" x14ac:dyDescent="0.25">
      <c r="A59" s="46" t="s">
        <v>54</v>
      </c>
    </row>
    <row r="60" spans="1:11" x14ac:dyDescent="0.25">
      <c r="A60" s="32"/>
    </row>
    <row r="61" spans="1:11" x14ac:dyDescent="0.25">
      <c r="A61" s="43" t="s">
        <v>72</v>
      </c>
    </row>
    <row r="62" spans="1:11" x14ac:dyDescent="0.25">
      <c r="A62" s="38" t="s">
        <v>62</v>
      </c>
      <c r="D62" s="28"/>
      <c r="F62" s="28">
        <f>F52</f>
        <v>10869.367044207622</v>
      </c>
      <c r="G62" s="28">
        <f>G52</f>
        <v>77629.019429730848</v>
      </c>
      <c r="H62" s="28">
        <f>H52</f>
        <v>692704.76172735181</v>
      </c>
      <c r="I62" s="28">
        <f>I52</f>
        <v>3849016.7802266264</v>
      </c>
      <c r="J62" s="28">
        <f>J52</f>
        <v>17222903.378760573</v>
      </c>
      <c r="K62" s="28">
        <f>K52</f>
        <v>10869367.044207625</v>
      </c>
    </row>
    <row r="63" spans="1:11" x14ac:dyDescent="0.25">
      <c r="A63" s="38" t="s">
        <v>63</v>
      </c>
      <c r="D63" s="28">
        <f>D38*($B$18 + $F$20)</f>
        <v>2608.6480906098295</v>
      </c>
      <c r="E63" s="28">
        <f>E38*($B$18 + $F$20)</f>
        <v>6521.6202265245738</v>
      </c>
      <c r="F63" s="28">
        <f>F38*($B$18 + $F$20)</f>
        <v>22825.670792836008</v>
      </c>
      <c r="G63" s="28">
        <f t="shared" ref="G63:K63" si="9">G38*($B$18 + $F$20)</f>
        <v>174518.5572617976</v>
      </c>
      <c r="H63" s="28">
        <f t="shared" si="9"/>
        <v>1556841.1804759463</v>
      </c>
      <c r="I63" s="28">
        <f t="shared" si="9"/>
        <v>7840487.4849346383</v>
      </c>
      <c r="J63" s="28">
        <f t="shared" si="9"/>
        <v>32608101.132622872</v>
      </c>
      <c r="K63" s="28">
        <f t="shared" si="9"/>
        <v>32608101.132622872</v>
      </c>
    </row>
    <row r="64" spans="1:11" x14ac:dyDescent="0.25">
      <c r="A64" s="38" t="s">
        <v>67</v>
      </c>
      <c r="D64" s="41">
        <v>60000</v>
      </c>
      <c r="E64" s="41">
        <v>90000</v>
      </c>
      <c r="F64" s="41">
        <v>120000</v>
      </c>
      <c r="G64" s="41">
        <v>150000</v>
      </c>
      <c r="H64" s="41">
        <v>0</v>
      </c>
      <c r="I64" s="41">
        <v>0</v>
      </c>
      <c r="J64" s="41">
        <v>0</v>
      </c>
      <c r="K64" s="41">
        <v>0</v>
      </c>
    </row>
    <row r="65" spans="1:11" x14ac:dyDescent="0.25">
      <c r="A65" s="38"/>
      <c r="D65" s="41"/>
      <c r="E65" s="41"/>
      <c r="F65" s="41"/>
      <c r="G65" s="41"/>
      <c r="H65" s="41"/>
      <c r="I65" s="41"/>
      <c r="J65" s="41"/>
      <c r="K65" s="28"/>
    </row>
    <row r="66" spans="1:11" x14ac:dyDescent="0.25">
      <c r="A66" s="43" t="s">
        <v>68</v>
      </c>
      <c r="D66" s="41"/>
      <c r="E66" s="41"/>
      <c r="F66" s="41"/>
      <c r="G66" s="41"/>
      <c r="H66" s="41"/>
      <c r="I66" s="41"/>
      <c r="J66" s="41"/>
      <c r="K66" s="28"/>
    </row>
    <row r="67" spans="1:11" x14ac:dyDescent="0.25">
      <c r="A67" s="44" t="s">
        <v>69</v>
      </c>
      <c r="D67" s="28">
        <f>SUM(D63:D64)</f>
        <v>62608.64809060983</v>
      </c>
      <c r="E67" s="28">
        <f t="shared" ref="E67:K67" si="10">SUM(E63:E64)</f>
        <v>96521.620226524567</v>
      </c>
      <c r="F67" s="28">
        <f t="shared" si="10"/>
        <v>142825.670792836</v>
      </c>
      <c r="G67" s="28">
        <f t="shared" si="10"/>
        <v>324518.5572617976</v>
      </c>
      <c r="H67" s="28">
        <f t="shared" si="10"/>
        <v>1556841.1804759463</v>
      </c>
      <c r="I67" s="28">
        <f t="shared" si="10"/>
        <v>7840487.4849346383</v>
      </c>
      <c r="J67" s="28">
        <f t="shared" si="10"/>
        <v>32608101.132622872</v>
      </c>
      <c r="K67" s="28">
        <f t="shared" si="10"/>
        <v>32608101.132622872</v>
      </c>
    </row>
    <row r="68" spans="1:11" x14ac:dyDescent="0.25">
      <c r="A68" s="70" t="s">
        <v>109</v>
      </c>
      <c r="D68" s="28"/>
      <c r="E68" s="28"/>
      <c r="F68" s="28"/>
      <c r="G68" s="71" cm="1">
        <f t="array" ref="G68">(G67 - INDEX('Token-Curves'!$O:$O, MATCH(G$67,'Token-Curves'!$O:$O,1),1))/INDEX('Token-Curves'!$M:$M, MATCH(G$67,'Token-Curves'!$O:$O,1) + 1,1)</f>
        <v>0.387819016137328</v>
      </c>
      <c r="H68" s="71" cm="1">
        <f t="array" ref="H68">(H67 - INDEX('Token-Curves'!$O:$O, MATCH(H$67,'Token-Curves'!$O:$O,1),1))/INDEX('Token-Curves'!$M:$M, MATCH(H$67,'Token-Curves'!$O:$O,1) + 1,1)</f>
        <v>0.6204091787156355</v>
      </c>
      <c r="I68" s="71" cm="1">
        <f t="array" ref="I68">(I67 - INDEX('Token-Curves'!$O:$O, MATCH(I$67,'Token-Curves'!$O:$O,1),1))/INDEX('Token-Curves'!$M:$M, MATCH(I$67,'Token-Curves'!$O:$O,1) + 1,1)</f>
        <v>5.3568608677409459E-2</v>
      </c>
      <c r="J68" s="71" cm="1">
        <f t="array" ref="J68">(J67 - INDEX('Token-Curves'!$O:$O, MATCH(J$67,'Token-Curves'!$O:$O,1),1))/INDEX('Token-Curves'!$M:$M, MATCH(J$67,'Token-Curves'!$O:$O,1) + 1,1)</f>
        <v>0.90810921721076721</v>
      </c>
      <c r="K68" s="71" cm="1">
        <f t="array" ref="K68">(K67 - INDEX('Token-Curves'!$O:$O, MATCH(K$67,'Token-Curves'!$O:$O,1),1))/INDEX('Token-Curves'!$M:$M, MATCH(K$67,'Token-Curves'!$O:$O,1) + 1,1)</f>
        <v>0.90810921721076721</v>
      </c>
    </row>
    <row r="69" spans="1:11" x14ac:dyDescent="0.25">
      <c r="A69" s="38"/>
      <c r="D69" s="28"/>
      <c r="F69" s="28"/>
      <c r="G69" s="28"/>
      <c r="H69" s="28"/>
      <c r="I69" s="28"/>
      <c r="J69" s="28"/>
      <c r="K69" s="28"/>
    </row>
    <row r="70" spans="1:11" x14ac:dyDescent="0.25">
      <c r="A70" s="8" t="s">
        <v>71</v>
      </c>
    </row>
    <row r="71" spans="1:11" x14ac:dyDescent="0.25">
      <c r="A71" s="45" t="s">
        <v>57</v>
      </c>
      <c r="D71" s="28">
        <f>D46*D51</f>
        <v>489.137775722654</v>
      </c>
      <c r="E71" s="28">
        <f t="shared" ref="E71:K71" si="11">E46*E51</f>
        <v>1467.486488427839</v>
      </c>
      <c r="F71" s="28">
        <f t="shared" si="11"/>
        <v>4892.6376258250393</v>
      </c>
      <c r="G71" s="28">
        <f t="shared" si="11"/>
        <v>39912.738271363414</v>
      </c>
      <c r="H71" s="28">
        <f t="shared" si="11"/>
        <v>358446.70387076744</v>
      </c>
      <c r="I71" s="28">
        <f t="shared" si="11"/>
        <v>2281708.1034227852</v>
      </c>
      <c r="J71" s="28">
        <f t="shared" si="11"/>
        <v>13177433.354234658</v>
      </c>
      <c r="K71" s="28">
        <f t="shared" si="11"/>
        <v>19731661.681891855</v>
      </c>
    </row>
    <row r="72" spans="1:11" x14ac:dyDescent="0.25">
      <c r="A72" s="45" t="s">
        <v>58</v>
      </c>
      <c r="F72" s="28">
        <f>F71</f>
        <v>4892.6376258250393</v>
      </c>
      <c r="G72" s="28">
        <f>G71-F71</f>
        <v>35020.100645538376</v>
      </c>
      <c r="H72" s="28">
        <f t="shared" ref="H72" si="12">H71-G71</f>
        <v>318533.96559940401</v>
      </c>
      <c r="I72" s="28">
        <f t="shared" ref="I72" si="13">I71-H71</f>
        <v>1923261.3995520177</v>
      </c>
      <c r="J72" s="28">
        <f t="shared" ref="J72:K72" si="14">J71-I71</f>
        <v>10895725.250811873</v>
      </c>
      <c r="K72" s="28">
        <f t="shared" si="14"/>
        <v>6554228.3276571967</v>
      </c>
    </row>
    <row r="74" spans="1:11" x14ac:dyDescent="0.25">
      <c r="A74" s="8" t="s">
        <v>70</v>
      </c>
    </row>
    <row r="75" spans="1:11" x14ac:dyDescent="0.25">
      <c r="A75" s="45" t="s">
        <v>73</v>
      </c>
      <c r="E75" s="28">
        <f>D67</f>
        <v>62608.64809060983</v>
      </c>
      <c r="F75" s="28">
        <f t="shared" ref="F75:K75" si="15">E67</f>
        <v>96521.620226524567</v>
      </c>
      <c r="G75" s="28">
        <f t="shared" si="15"/>
        <v>142825.670792836</v>
      </c>
      <c r="H75" s="28">
        <f t="shared" si="15"/>
        <v>324518.5572617976</v>
      </c>
      <c r="I75" s="28">
        <f t="shared" si="15"/>
        <v>1556841.1804759463</v>
      </c>
      <c r="J75" s="28">
        <f t="shared" si="15"/>
        <v>7840487.4849346383</v>
      </c>
      <c r="K75" s="28">
        <f t="shared" si="15"/>
        <v>32608101.132622872</v>
      </c>
    </row>
    <row r="76" spans="1:11" x14ac:dyDescent="0.25">
      <c r="A76" s="45" t="s">
        <v>74</v>
      </c>
      <c r="E76" s="28">
        <f>E72</f>
        <v>0</v>
      </c>
      <c r="F76" s="28">
        <f t="shared" ref="F76:J76" si="16">F72</f>
        <v>4892.6376258250393</v>
      </c>
      <c r="G76" s="28">
        <f t="shared" si="16"/>
        <v>35020.100645538376</v>
      </c>
      <c r="H76" s="28">
        <f t="shared" si="16"/>
        <v>318533.96559940401</v>
      </c>
      <c r="I76" s="28">
        <f t="shared" si="16"/>
        <v>1923261.3995520177</v>
      </c>
      <c r="J76" s="28">
        <f t="shared" si="16"/>
        <v>10895725.250811873</v>
      </c>
      <c r="K76" s="28">
        <f>K72</f>
        <v>6554228.3276571967</v>
      </c>
    </row>
    <row r="77" spans="1:11" x14ac:dyDescent="0.25">
      <c r="A77" s="45" t="s">
        <v>75</v>
      </c>
      <c r="E77" s="28">
        <f>E67 - SUM(E75:E76)</f>
        <v>33912.972135914737</v>
      </c>
      <c r="F77" s="28">
        <f>F67 - SUM(F75:F76)</f>
        <v>41411.412940486392</v>
      </c>
      <c r="G77" s="28">
        <f>G67 - SUM(G75:G76)</f>
        <v>146672.78582342324</v>
      </c>
      <c r="H77" s="28">
        <f>H67 - SUM(H75:H76)</f>
        <v>913788.65761474473</v>
      </c>
      <c r="I77" s="28">
        <f>I67 - SUM(I75:I76)</f>
        <v>4360384.9049066743</v>
      </c>
      <c r="J77" s="28">
        <f>J67 - SUM(J75:J76)</f>
        <v>13871888.396876361</v>
      </c>
      <c r="K77" s="28">
        <f>K67 - SUM(K75:K76)</f>
        <v>-6554228.3276571967</v>
      </c>
    </row>
    <row r="79" spans="1:11" x14ac:dyDescent="0.25">
      <c r="A79" s="8" t="s">
        <v>76</v>
      </c>
    </row>
    <row r="80" spans="1:11" x14ac:dyDescent="0.25">
      <c r="A80" s="45" t="s">
        <v>81</v>
      </c>
      <c r="F80" s="42">
        <f>F76/(F75+F77)</f>
        <v>3.5471108794518973E-2</v>
      </c>
      <c r="G80" s="42">
        <f t="shared" ref="G80:K80" si="17">G76/(G75+G77)</f>
        <v>0.12096817736047137</v>
      </c>
      <c r="H80" s="42">
        <f t="shared" si="17"/>
        <v>0.2572333923057708</v>
      </c>
      <c r="I80" s="42">
        <f t="shared" si="17"/>
        <v>0.32502753347604352</v>
      </c>
      <c r="J80" s="42">
        <f t="shared" si="17"/>
        <v>0.50182095732505694</v>
      </c>
      <c r="K80" s="42">
        <f t="shared" si="17"/>
        <v>0.25156445556946178</v>
      </c>
    </row>
    <row r="81" spans="1:11" x14ac:dyDescent="0.25">
      <c r="A81" s="45" t="s">
        <v>77</v>
      </c>
      <c r="F81" s="42">
        <f t="shared" ref="F81:K81" si="18">F75/(F75+F77)</f>
        <v>0.69977160662924764</v>
      </c>
      <c r="G81" s="42">
        <f t="shared" si="18"/>
        <v>0.49335555174360268</v>
      </c>
      <c r="H81" s="42">
        <f t="shared" si="18"/>
        <v>0.26206627350883333</v>
      </c>
      <c r="I81" s="42">
        <f t="shared" si="18"/>
        <v>0.26310321052660562</v>
      </c>
      <c r="J81" s="42">
        <f t="shared" si="18"/>
        <v>0.3611068419049806</v>
      </c>
      <c r="K81" s="42">
        <f t="shared" si="18"/>
        <v>1.2515644555694618</v>
      </c>
    </row>
    <row r="82" spans="1:11" x14ac:dyDescent="0.25">
      <c r="A82" s="45" t="s">
        <v>78</v>
      </c>
      <c r="F82" s="42">
        <f>1-F81</f>
        <v>0.30022839337075236</v>
      </c>
      <c r="G82" s="42">
        <f t="shared" ref="G82:K82" si="19">1-G81</f>
        <v>0.50664444825639732</v>
      </c>
      <c r="H82" s="42">
        <f t="shared" si="19"/>
        <v>0.73793372649116673</v>
      </c>
      <c r="I82" s="42">
        <f t="shared" si="19"/>
        <v>0.73689678947339443</v>
      </c>
      <c r="J82" s="42">
        <f t="shared" si="19"/>
        <v>0.63889315809501945</v>
      </c>
      <c r="K82" s="42">
        <f t="shared" si="19"/>
        <v>-0.25156445556946183</v>
      </c>
    </row>
    <row r="83" spans="1:11" x14ac:dyDescent="0.25">
      <c r="A83" s="45" t="s">
        <v>79</v>
      </c>
      <c r="F83" s="28">
        <f>F81*F$76</f>
        <v>3423.7288920782958</v>
      </c>
      <c r="G83" s="28">
        <f t="shared" ref="G83:J83" si="20">G81*G$76</f>
        <v>17277.36107609608</v>
      </c>
      <c r="H83" s="28">
        <f t="shared" si="20"/>
        <v>83477.009350626715</v>
      </c>
      <c r="I83" s="28">
        <f t="shared" si="20"/>
        <v>506016.24890402867</v>
      </c>
      <c r="J83" s="28">
        <f t="shared" si="20"/>
        <v>3934520.935585028</v>
      </c>
    </row>
    <row r="84" spans="1:11" x14ac:dyDescent="0.25">
      <c r="A84" s="45" t="s">
        <v>80</v>
      </c>
      <c r="F84" s="28">
        <f>F82*F$76</f>
        <v>1468.9087337467438</v>
      </c>
      <c r="G84" s="28">
        <f t="shared" ref="G84:J84" si="21">G82*G$76</f>
        <v>17742.739569442296</v>
      </c>
      <c r="H84" s="28">
        <f t="shared" si="21"/>
        <v>235056.95624877731</v>
      </c>
      <c r="I84" s="28">
        <f t="shared" si="21"/>
        <v>1417245.150647989</v>
      </c>
      <c r="J84" s="28">
        <f t="shared" si="21"/>
        <v>6961204.3152268454</v>
      </c>
    </row>
    <row r="86" spans="1:11" x14ac:dyDescent="0.25">
      <c r="A86" s="8" t="s">
        <v>83</v>
      </c>
      <c r="G86" s="42"/>
      <c r="H86" s="42"/>
      <c r="I86" s="42"/>
      <c r="J86" s="42"/>
      <c r="K86" s="42"/>
    </row>
    <row r="87" spans="1:11" x14ac:dyDescent="0.25">
      <c r="A87" s="45" t="s">
        <v>85</v>
      </c>
      <c r="G87" s="40" cm="1">
        <f t="array" ref="G87">INDEX('Token-Curves'!$D:$D, 1 + MATCH(G$67,'Token-Curves'!$O:$O,1),1) + G68*INDEX('Token-Curves'!$L:$L, 1 + MATCH(G$67,'Token-Curves'!$O:$O,1),1)</f>
        <v>50471270.190153465</v>
      </c>
      <c r="H87" s="40" cm="1">
        <f t="array" ref="H87">INDEX('Token-Curves'!$D:$D, 1 + MATCH(H$67,'Token-Curves'!$O:$O,1),1) + H68*INDEX('Token-Curves'!$L:$L, 1 + MATCH(H$67,'Token-Curves'!$O:$O,1),1)</f>
        <v>190510229.46789089</v>
      </c>
      <c r="I87" s="40" cm="1">
        <f t="array" ref="I87">INDEX('Token-Curves'!$D:$D, 1 + MATCH(I$67,'Token-Curves'!$O:$O,1),1) + I68*INDEX('Token-Curves'!$L:$L, 1 + MATCH(I$67,'Token-Curves'!$O:$O,1),1)</f>
        <v>705356860.86774099</v>
      </c>
      <c r="J87" s="40" cm="1">
        <f t="array" ref="J87">INDEX('Token-Curves'!$D:$D, 1 + MATCH(J$67,'Token-Curves'!$O:$O,1),1) + J68*INDEX('Token-Curves'!$L:$L, 1 + MATCH(J$67,'Token-Curves'!$O:$O,1),1)</f>
        <v>1977027304.3026917</v>
      </c>
      <c r="K87" s="40" cm="1">
        <f t="array" ref="K87">INDEX('Token-Curves'!$D:$D, 1 + MATCH(K$67,'Token-Curves'!$O:$O,1),1) + K68*INDEX('Token-Curves'!$L:$L, 1 + MATCH(K$67,'Token-Curves'!$O:$O,1),1)</f>
        <v>1977027304.3026917</v>
      </c>
    </row>
    <row r="88" spans="1:11" x14ac:dyDescent="0.25">
      <c r="A88" s="45" t="s">
        <v>110</v>
      </c>
      <c r="G88" s="42"/>
      <c r="H88" s="42">
        <f>H80</f>
        <v>0.2572333923057708</v>
      </c>
      <c r="I88" s="42">
        <f t="shared" ref="I88:J88" si="22">I80</f>
        <v>0.32502753347604352</v>
      </c>
      <c r="J88" s="42">
        <f t="shared" si="22"/>
        <v>0.50182095732505694</v>
      </c>
      <c r="K88" s="42"/>
    </row>
    <row r="89" spans="1:11" x14ac:dyDescent="0.25">
      <c r="A89" s="45" t="s">
        <v>111</v>
      </c>
      <c r="G89" s="42"/>
      <c r="H89" s="42"/>
      <c r="I89" s="42"/>
      <c r="J89" s="42"/>
      <c r="K89" s="42"/>
    </row>
    <row r="90" spans="1:11" x14ac:dyDescent="0.25">
      <c r="A90" s="45"/>
      <c r="G90" s="42"/>
      <c r="H90" s="42"/>
      <c r="I90" s="42"/>
      <c r="J90" s="42"/>
      <c r="K90" s="42"/>
    </row>
    <row r="91" spans="1:11" x14ac:dyDescent="0.25">
      <c r="A91" s="68" t="s">
        <v>84</v>
      </c>
      <c r="G91" s="58">
        <f>100*G67/G87</f>
        <v>0.64297679856115164</v>
      </c>
      <c r="H91" s="58">
        <f t="shared" ref="H91:K91" si="23">100*H67/H87</f>
        <v>0.8171955830531088</v>
      </c>
      <c r="I91" s="58">
        <f t="shared" si="23"/>
        <v>1.1115632270577405</v>
      </c>
      <c r="J91" s="58">
        <f t="shared" si="23"/>
        <v>1.6493500652042803</v>
      </c>
      <c r="K91" s="58">
        <f t="shared" si="23"/>
        <v>1.6493500652042803</v>
      </c>
    </row>
    <row r="92" spans="1:11" x14ac:dyDescent="0.25">
      <c r="A92" s="45" t="s">
        <v>112</v>
      </c>
      <c r="G92" s="42"/>
      <c r="H92" s="42">
        <f>H91/G91-1</f>
        <v>0.27095656465648932</v>
      </c>
      <c r="I92" s="42">
        <f t="shared" ref="I92:K92" si="24">I91/H91-1</f>
        <v>0.36021688089019066</v>
      </c>
      <c r="J92" s="42">
        <f t="shared" si="24"/>
        <v>0.48381128941269336</v>
      </c>
      <c r="K92" s="42">
        <f t="shared" si="24"/>
        <v>0</v>
      </c>
    </row>
    <row r="93" spans="1:11" x14ac:dyDescent="0.25">
      <c r="A93" s="45"/>
      <c r="G93" s="42"/>
      <c r="H93" s="42"/>
      <c r="I93" s="42"/>
      <c r="J93" s="42"/>
      <c r="K93" s="42"/>
    </row>
    <row r="94" spans="1:11" x14ac:dyDescent="0.25">
      <c r="A94" s="45" t="s">
        <v>113</v>
      </c>
      <c r="G94" s="28">
        <f>G67+10*G72</f>
        <v>674719.56371718133</v>
      </c>
      <c r="H94" s="28">
        <f t="shared" ref="H94:K94" si="25">H67+10*H72</f>
        <v>4742180.8364699865</v>
      </c>
      <c r="I94" s="28">
        <f t="shared" si="25"/>
        <v>27073101.480454817</v>
      </c>
      <c r="J94" s="28">
        <f t="shared" si="25"/>
        <v>141565353.64074162</v>
      </c>
      <c r="K94" s="28">
        <f t="shared" si="25"/>
        <v>98150384.409194842</v>
      </c>
    </row>
    <row r="95" spans="1:11" x14ac:dyDescent="0.25">
      <c r="A95" s="45"/>
      <c r="G95" s="42"/>
      <c r="H95" s="42"/>
      <c r="I95" s="42"/>
      <c r="J95" s="42"/>
      <c r="K95" s="42"/>
    </row>
    <row r="96" spans="1:11" x14ac:dyDescent="0.25">
      <c r="A96" s="45"/>
      <c r="G96" s="42"/>
      <c r="H96" s="42"/>
      <c r="I96" s="42"/>
      <c r="J96" s="42"/>
      <c r="K96" s="42"/>
    </row>
    <row r="97" spans="1:11" x14ac:dyDescent="0.25">
      <c r="A97" s="45"/>
      <c r="G97" s="42"/>
      <c r="H97" s="42"/>
      <c r="I97" s="42"/>
      <c r="J97" s="42"/>
      <c r="K97" s="42"/>
    </row>
    <row r="98" spans="1:11" x14ac:dyDescent="0.25">
      <c r="A98" s="8"/>
      <c r="G98" s="42"/>
      <c r="H98" s="42"/>
      <c r="I98" s="42"/>
      <c r="J98" s="42"/>
      <c r="K98" s="42"/>
    </row>
    <row r="99" spans="1:11" x14ac:dyDescent="0.25">
      <c r="A99" s="68" t="s">
        <v>84</v>
      </c>
      <c r="E99" s="50">
        <f>F99/(1+F80)</f>
        <v>0.68525596215296614</v>
      </c>
      <c r="F99" s="50">
        <f>G99/(1+G80)</f>
        <v>0.70956275093858678</v>
      </c>
      <c r="G99" s="50">
        <f>H99/(1+H80)</f>
        <v>0.79539726364250973</v>
      </c>
      <c r="H99" s="51">
        <v>1</v>
      </c>
      <c r="I99" s="50">
        <f>H99*(1+I80)</f>
        <v>1.3250275334760435</v>
      </c>
      <c r="J99" s="50">
        <f>I99*(1+J80)</f>
        <v>1.9899541188070506</v>
      </c>
      <c r="K99" s="50">
        <f>J99*(1+K80)</f>
        <v>2.4905558433129547</v>
      </c>
    </row>
    <row r="100" spans="1:11" x14ac:dyDescent="0.25">
      <c r="A100" s="45" t="s">
        <v>85</v>
      </c>
      <c r="E100" s="40">
        <f>100*E67/E99</f>
        <v>14085484.192398541</v>
      </c>
      <c r="F100" s="40">
        <f t="shared" ref="F100:K100" si="26">100*F67/F99</f>
        <v>20128687.787501641</v>
      </c>
      <c r="G100" s="40">
        <f t="shared" si="26"/>
        <v>40799556.661242433</v>
      </c>
      <c r="H100" s="40">
        <f t="shared" si="26"/>
        <v>155684118.04759464</v>
      </c>
      <c r="I100" s="40">
        <f t="shared" si="26"/>
        <v>591722608.53826213</v>
      </c>
      <c r="J100" s="40">
        <f t="shared" si="26"/>
        <v>1638635827.0496693</v>
      </c>
      <c r="K100" s="40">
        <f t="shared" si="26"/>
        <v>1309270025.8126857</v>
      </c>
    </row>
    <row r="101" spans="1:11" x14ac:dyDescent="0.25">
      <c r="A101" s="69"/>
      <c r="H101" s="47"/>
    </row>
    <row r="102" spans="1:11" x14ac:dyDescent="0.25">
      <c r="A102" s="45" t="s">
        <v>86</v>
      </c>
      <c r="F102" s="40">
        <f>F100-E100</f>
        <v>6043203.5951030999</v>
      </c>
      <c r="G102" s="40">
        <f t="shared" ref="G102:K102" si="27">G100-F100</f>
        <v>20670868.873740792</v>
      </c>
      <c r="H102" s="40">
        <f t="shared" si="27"/>
        <v>114884561.38635221</v>
      </c>
      <c r="I102" s="40">
        <f t="shared" si="27"/>
        <v>436038490.49066746</v>
      </c>
      <c r="J102" s="40">
        <f t="shared" si="27"/>
        <v>1046913218.5114071</v>
      </c>
      <c r="K102" s="40">
        <f t="shared" si="27"/>
        <v>-329365801.23698354</v>
      </c>
    </row>
    <row r="103" spans="1:11" x14ac:dyDescent="0.25">
      <c r="A103" s="45" t="s">
        <v>87</v>
      </c>
      <c r="F103" s="28">
        <f>F77</f>
        <v>41411.412940486392</v>
      </c>
      <c r="G103" s="28">
        <f t="shared" ref="G103:K103" si="28">G77</f>
        <v>146672.78582342324</v>
      </c>
      <c r="H103" s="28">
        <f t="shared" si="28"/>
        <v>913788.65761474473</v>
      </c>
      <c r="I103" s="28">
        <f t="shared" si="28"/>
        <v>4360384.9049066743</v>
      </c>
      <c r="J103" s="28">
        <f t="shared" si="28"/>
        <v>13871888.396876361</v>
      </c>
      <c r="K103" s="28">
        <f t="shared" si="28"/>
        <v>-6554228.3276571967</v>
      </c>
    </row>
    <row r="104" spans="1:11" x14ac:dyDescent="0.25">
      <c r="A104" s="45" t="s">
        <v>88</v>
      </c>
      <c r="F104" s="50">
        <f>100*F103/F102</f>
        <v>0.68525596215296614</v>
      </c>
      <c r="G104" s="50">
        <f t="shared" ref="G104:K104" si="29">100*G103/G102</f>
        <v>0.70956275093858678</v>
      </c>
      <c r="H104" s="50">
        <f t="shared" si="29"/>
        <v>0.79539726364250962</v>
      </c>
      <c r="I104" s="50">
        <f t="shared" si="29"/>
        <v>0.99999999999999989</v>
      </c>
      <c r="J104" s="50">
        <f t="shared" si="29"/>
        <v>1.3250275334760437</v>
      </c>
      <c r="K104" s="50">
        <f t="shared" si="29"/>
        <v>1.9899541188070502</v>
      </c>
    </row>
    <row r="105" spans="1:11" x14ac:dyDescent="0.25">
      <c r="F105" s="52"/>
      <c r="G105" s="52"/>
      <c r="H105" s="52"/>
      <c r="I105" s="52"/>
      <c r="J105" s="52"/>
      <c r="K105" s="52"/>
    </row>
    <row r="106" spans="1:11" x14ac:dyDescent="0.25">
      <c r="F106" s="52"/>
      <c r="G106" s="52"/>
      <c r="H106" s="52"/>
      <c r="I106" s="52"/>
      <c r="J106" s="52"/>
      <c r="K106" s="52"/>
    </row>
    <row r="107" spans="1:11" x14ac:dyDescent="0.25">
      <c r="F107" s="52"/>
      <c r="G107" s="52"/>
      <c r="H107" s="52"/>
      <c r="I107" s="52"/>
      <c r="J107" s="52"/>
      <c r="K107" s="52"/>
    </row>
    <row r="109" spans="1:11" x14ac:dyDescent="0.25">
      <c r="A109" s="38"/>
      <c r="F109" s="26"/>
      <c r="G109" s="40"/>
      <c r="H109" s="40"/>
      <c r="I109" s="40"/>
      <c r="J109" s="40"/>
      <c r="K109" s="40"/>
    </row>
    <row r="110" spans="1:11" x14ac:dyDescent="0.25">
      <c r="A110" s="38"/>
      <c r="F110" s="39"/>
      <c r="G110" s="40"/>
      <c r="H110" s="40"/>
      <c r="I110" s="40"/>
      <c r="J110" s="40"/>
      <c r="K110" s="40"/>
    </row>
    <row r="111" spans="1:11" x14ac:dyDescent="0.25">
      <c r="A111" s="38"/>
      <c r="F111" s="39"/>
      <c r="G111" s="40"/>
      <c r="H111" s="40"/>
      <c r="I111" s="40"/>
      <c r="J111" s="40"/>
      <c r="K111" s="40"/>
    </row>
    <row r="112" spans="1:11" x14ac:dyDescent="0.25">
      <c r="A112" s="38"/>
      <c r="F112" s="28"/>
      <c r="G112" s="40"/>
      <c r="H112" s="40"/>
      <c r="I112" s="40"/>
      <c r="J112" s="40"/>
      <c r="K112" s="40"/>
    </row>
    <row r="113" spans="1:11" x14ac:dyDescent="0.25">
      <c r="A113" s="38"/>
      <c r="F113" s="28"/>
      <c r="G113" s="58"/>
      <c r="H113" s="58"/>
      <c r="I113" s="58"/>
      <c r="J113" s="58"/>
      <c r="K113" s="58"/>
    </row>
    <row r="114" spans="1:11" x14ac:dyDescent="0.25">
      <c r="A114" s="38"/>
      <c r="F114" s="40"/>
      <c r="G114" s="47"/>
      <c r="H114" s="42"/>
      <c r="I114" s="42"/>
      <c r="J114" s="42"/>
      <c r="K114" s="42"/>
    </row>
    <row r="115" spans="1:11" x14ac:dyDescent="0.25">
      <c r="F115" s="39"/>
    </row>
    <row r="117" spans="1:11" x14ac:dyDescent="0.25">
      <c r="F117" s="42"/>
    </row>
    <row r="118" spans="1:11" x14ac:dyDescent="0.25">
      <c r="F118" s="42"/>
    </row>
    <row r="120" spans="1:11" x14ac:dyDescent="0.25">
      <c r="G120" s="47"/>
      <c r="H120" s="47"/>
      <c r="I120" s="47"/>
      <c r="J120" s="47"/>
    </row>
    <row r="121" spans="1:11" x14ac:dyDescent="0.25">
      <c r="G121" s="47"/>
      <c r="H121" s="47"/>
      <c r="I121" s="47"/>
      <c r="J121" s="47"/>
    </row>
    <row r="122" spans="1:11" x14ac:dyDescent="0.25">
      <c r="G122" s="47"/>
      <c r="H122" s="47"/>
      <c r="I122" s="47"/>
      <c r="J122" s="47"/>
    </row>
    <row r="130" spans="14:15" x14ac:dyDescent="0.25">
      <c r="N130" s="58"/>
    </row>
    <row r="131" spans="14:15" x14ac:dyDescent="0.25">
      <c r="N131" s="40"/>
      <c r="O131" s="28"/>
    </row>
    <row r="135" spans="14:15" x14ac:dyDescent="0.25">
      <c r="N135" s="58"/>
    </row>
    <row r="136" spans="14:15" x14ac:dyDescent="0.25">
      <c r="N136" s="40"/>
      <c r="O136" s="28"/>
    </row>
    <row r="139" spans="14:15" x14ac:dyDescent="0.25">
      <c r="N139" s="58"/>
    </row>
    <row r="140" spans="14:15" x14ac:dyDescent="0.25">
      <c r="N140" s="40"/>
      <c r="O140" s="28"/>
    </row>
    <row r="146" spans="14:15" x14ac:dyDescent="0.25">
      <c r="N146" s="58"/>
    </row>
    <row r="147" spans="14:15" x14ac:dyDescent="0.25">
      <c r="N147" s="40"/>
      <c r="O147" s="2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11FA-C521-41CD-9233-22267BA54DAB}">
  <dimension ref="A1:E69"/>
  <sheetViews>
    <sheetView topLeftCell="A34" workbookViewId="0">
      <selection activeCell="D62" sqref="D62"/>
    </sheetView>
  </sheetViews>
  <sheetFormatPr baseColWidth="10" defaultRowHeight="15" x14ac:dyDescent="0.25"/>
  <cols>
    <col min="1" max="1" width="18.42578125" customWidth="1"/>
    <col min="2" max="2" width="14.42578125" customWidth="1"/>
    <col min="3" max="3" width="20.140625" customWidth="1"/>
    <col min="4" max="4" width="14.7109375" customWidth="1"/>
    <col min="5" max="5" width="16.28515625" customWidth="1"/>
  </cols>
  <sheetData>
    <row r="1" spans="1:5" x14ac:dyDescent="0.25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</row>
    <row r="2" spans="1:5" x14ac:dyDescent="0.25">
      <c r="D2">
        <f>SUM(D3:D8)</f>
        <v>150</v>
      </c>
      <c r="E2">
        <f>SUM(E3:E13)</f>
        <v>130</v>
      </c>
    </row>
    <row r="3" spans="1:5" x14ac:dyDescent="0.25">
      <c r="A3" s="4">
        <v>0</v>
      </c>
      <c r="B3" s="10">
        <v>0</v>
      </c>
      <c r="C3" s="10">
        <v>0</v>
      </c>
      <c r="D3" s="7">
        <v>15</v>
      </c>
      <c r="E3" s="14">
        <v>3</v>
      </c>
    </row>
    <row r="4" spans="1:5" x14ac:dyDescent="0.25">
      <c r="A4" s="4">
        <f>A3+1</f>
        <v>1</v>
      </c>
      <c r="B4" s="10">
        <f>B3+D3</f>
        <v>15</v>
      </c>
      <c r="C4" s="10">
        <f>C3+D3-E3</f>
        <v>12</v>
      </c>
      <c r="D4" s="7">
        <v>15</v>
      </c>
      <c r="E4" s="14">
        <v>3</v>
      </c>
    </row>
    <row r="5" spans="1:5" ht="15.75" x14ac:dyDescent="0.25">
      <c r="A5" s="4">
        <f t="shared" ref="A5:A63" si="0">A4+1</f>
        <v>2</v>
      </c>
      <c r="B5" s="10">
        <f>B4+D4</f>
        <v>30</v>
      </c>
      <c r="C5" s="10">
        <f t="shared" ref="C5:C63" si="1">C4+D4-E4</f>
        <v>24</v>
      </c>
      <c r="D5" s="9">
        <f>'Business-Plan'!$D$37 - B5</f>
        <v>20</v>
      </c>
      <c r="E5" s="14">
        <v>4</v>
      </c>
    </row>
    <row r="6" spans="1:5" ht="15.75" x14ac:dyDescent="0.25">
      <c r="A6" s="5">
        <f t="shared" si="0"/>
        <v>3</v>
      </c>
      <c r="B6" s="11">
        <f>B5+D5</f>
        <v>50</v>
      </c>
      <c r="C6" s="10">
        <f t="shared" si="1"/>
        <v>40</v>
      </c>
      <c r="D6" s="7">
        <v>30</v>
      </c>
      <c r="E6" s="14">
        <v>12</v>
      </c>
    </row>
    <row r="7" spans="1:5" x14ac:dyDescent="0.25">
      <c r="A7" s="4">
        <f t="shared" si="0"/>
        <v>4</v>
      </c>
      <c r="B7" s="10">
        <f t="shared" ref="B7:B63" si="2">B6+D6</f>
        <v>80</v>
      </c>
      <c r="C7" s="10">
        <f t="shared" si="1"/>
        <v>58</v>
      </c>
      <c r="D7" s="7">
        <v>30</v>
      </c>
      <c r="E7" s="14">
        <v>13</v>
      </c>
    </row>
    <row r="8" spans="1:5" ht="15.75" x14ac:dyDescent="0.25">
      <c r="A8" s="4">
        <f t="shared" si="0"/>
        <v>5</v>
      </c>
      <c r="B8" s="10">
        <f t="shared" si="2"/>
        <v>110</v>
      </c>
      <c r="C8" s="10">
        <f t="shared" si="1"/>
        <v>75</v>
      </c>
      <c r="D8" s="9">
        <f>'Business-Plan'!$E$37 - B8</f>
        <v>40</v>
      </c>
      <c r="E8" s="14">
        <v>15</v>
      </c>
    </row>
    <row r="9" spans="1:5" ht="15.75" x14ac:dyDescent="0.25">
      <c r="A9" s="5">
        <f t="shared" si="0"/>
        <v>6</v>
      </c>
      <c r="B9" s="11">
        <f t="shared" si="2"/>
        <v>150</v>
      </c>
      <c r="C9" s="10">
        <f t="shared" si="1"/>
        <v>100</v>
      </c>
      <c r="D9" s="7">
        <v>45</v>
      </c>
      <c r="E9" s="14">
        <v>15</v>
      </c>
    </row>
    <row r="10" spans="1:5" x14ac:dyDescent="0.25">
      <c r="A10" s="4">
        <f t="shared" si="0"/>
        <v>7</v>
      </c>
      <c r="B10" s="10">
        <f t="shared" si="2"/>
        <v>195</v>
      </c>
      <c r="C10" s="10">
        <f t="shared" si="1"/>
        <v>130</v>
      </c>
      <c r="D10" s="7">
        <v>50</v>
      </c>
      <c r="E10" s="14">
        <v>15</v>
      </c>
    </row>
    <row r="11" spans="1:5" x14ac:dyDescent="0.25">
      <c r="A11" s="4">
        <f t="shared" si="0"/>
        <v>8</v>
      </c>
      <c r="B11" s="10">
        <f t="shared" si="2"/>
        <v>245</v>
      </c>
      <c r="C11" s="10">
        <f t="shared" si="1"/>
        <v>165</v>
      </c>
      <c r="D11" s="7">
        <v>55</v>
      </c>
      <c r="E11" s="14">
        <v>15</v>
      </c>
    </row>
    <row r="12" spans="1:5" x14ac:dyDescent="0.25">
      <c r="A12" s="4">
        <f t="shared" si="0"/>
        <v>9</v>
      </c>
      <c r="B12" s="10">
        <f t="shared" si="2"/>
        <v>300</v>
      </c>
      <c r="C12" s="10">
        <f t="shared" si="1"/>
        <v>205</v>
      </c>
      <c r="D12" s="7">
        <v>60</v>
      </c>
      <c r="E12" s="14">
        <v>15</v>
      </c>
    </row>
    <row r="13" spans="1:5" x14ac:dyDescent="0.25">
      <c r="A13" s="4">
        <f t="shared" si="0"/>
        <v>10</v>
      </c>
      <c r="B13" s="10">
        <f t="shared" si="2"/>
        <v>360</v>
      </c>
      <c r="C13" s="10">
        <f t="shared" si="1"/>
        <v>250</v>
      </c>
      <c r="D13" s="7">
        <v>65</v>
      </c>
      <c r="E13" s="14">
        <v>20</v>
      </c>
    </row>
    <row r="14" spans="1:5" ht="15.75" x14ac:dyDescent="0.25">
      <c r="A14" s="4">
        <f t="shared" si="0"/>
        <v>11</v>
      </c>
      <c r="B14" s="10">
        <f t="shared" si="2"/>
        <v>425</v>
      </c>
      <c r="C14" s="10">
        <f t="shared" si="1"/>
        <v>295</v>
      </c>
      <c r="D14" s="9">
        <f>'Business-Plan'!$F$37 - B14</f>
        <v>75</v>
      </c>
      <c r="E14" s="15">
        <f>$D$2-$E$2</f>
        <v>20</v>
      </c>
    </row>
    <row r="15" spans="1:5" ht="15.75" x14ac:dyDescent="0.25">
      <c r="A15" s="5">
        <f t="shared" si="0"/>
        <v>12</v>
      </c>
      <c r="B15" s="11">
        <f t="shared" si="2"/>
        <v>500</v>
      </c>
      <c r="C15" s="10">
        <f t="shared" si="1"/>
        <v>350</v>
      </c>
      <c r="D15" s="7">
        <f>ROUND((1 + 'Business-Plan'!$B$27) * D14, 0)</f>
        <v>90</v>
      </c>
      <c r="E15" s="14">
        <f>D9</f>
        <v>45</v>
      </c>
    </row>
    <row r="16" spans="1:5" x14ac:dyDescent="0.25">
      <c r="A16" s="4">
        <f t="shared" si="0"/>
        <v>13</v>
      </c>
      <c r="B16" s="10">
        <f t="shared" si="2"/>
        <v>590</v>
      </c>
      <c r="C16" s="10">
        <f t="shared" si="1"/>
        <v>395</v>
      </c>
      <c r="D16" s="7">
        <f>ROUND((1 + 'Business-Plan'!$B$27) * D15, 0)</f>
        <v>108</v>
      </c>
      <c r="E16" s="14">
        <f t="shared" ref="E16:E62" si="3">D10</f>
        <v>50</v>
      </c>
    </row>
    <row r="17" spans="1:5" x14ac:dyDescent="0.25">
      <c r="A17" s="4">
        <f t="shared" si="0"/>
        <v>14</v>
      </c>
      <c r="B17" s="10">
        <f t="shared" si="2"/>
        <v>698</v>
      </c>
      <c r="C17" s="10">
        <f t="shared" si="1"/>
        <v>453</v>
      </c>
      <c r="D17" s="7">
        <f>ROUND((1 + 'Business-Plan'!$B$27) * D16, 0)</f>
        <v>130</v>
      </c>
      <c r="E17" s="14">
        <f t="shared" si="3"/>
        <v>55</v>
      </c>
    </row>
    <row r="18" spans="1:5" x14ac:dyDescent="0.25">
      <c r="A18" s="4">
        <f t="shared" si="0"/>
        <v>15</v>
      </c>
      <c r="B18" s="10">
        <f t="shared" si="2"/>
        <v>828</v>
      </c>
      <c r="C18" s="10">
        <f t="shared" si="1"/>
        <v>528</v>
      </c>
      <c r="D18" s="7">
        <f>ROUND((1 + 'Business-Plan'!$B$27) * D17, 0)</f>
        <v>156</v>
      </c>
      <c r="E18" s="14">
        <f t="shared" si="3"/>
        <v>60</v>
      </c>
    </row>
    <row r="19" spans="1:5" x14ac:dyDescent="0.25">
      <c r="A19" s="4">
        <f t="shared" si="0"/>
        <v>16</v>
      </c>
      <c r="B19" s="10">
        <f t="shared" si="2"/>
        <v>984</v>
      </c>
      <c r="C19" s="10">
        <f t="shared" si="1"/>
        <v>624</v>
      </c>
      <c r="D19" s="7">
        <f>ROUND((1 + 'Business-Plan'!$B$27) * D18, 0)</f>
        <v>187</v>
      </c>
      <c r="E19" s="14">
        <f t="shared" si="3"/>
        <v>65</v>
      </c>
    </row>
    <row r="20" spans="1:5" x14ac:dyDescent="0.25">
      <c r="A20" s="4">
        <f t="shared" si="0"/>
        <v>17</v>
      </c>
      <c r="B20" s="10">
        <f t="shared" si="2"/>
        <v>1171</v>
      </c>
      <c r="C20" s="10">
        <f t="shared" si="1"/>
        <v>746</v>
      </c>
      <c r="D20" s="7">
        <f>ROUND((1 + 'Business-Plan'!$B$27) * D19, 0)</f>
        <v>224</v>
      </c>
      <c r="E20" s="14">
        <f t="shared" si="3"/>
        <v>75</v>
      </c>
    </row>
    <row r="21" spans="1:5" x14ac:dyDescent="0.25">
      <c r="A21" s="4">
        <f t="shared" si="0"/>
        <v>18</v>
      </c>
      <c r="B21" s="10">
        <f t="shared" si="2"/>
        <v>1395</v>
      </c>
      <c r="C21" s="10">
        <f t="shared" si="1"/>
        <v>895</v>
      </c>
      <c r="D21" s="7">
        <f>ROUND((1 + 'Business-Plan'!$B$27) * D20, 0)</f>
        <v>269</v>
      </c>
      <c r="E21" s="14">
        <f t="shared" si="3"/>
        <v>90</v>
      </c>
    </row>
    <row r="22" spans="1:5" x14ac:dyDescent="0.25">
      <c r="A22" s="4">
        <f t="shared" si="0"/>
        <v>19</v>
      </c>
      <c r="B22" s="10">
        <f t="shared" si="2"/>
        <v>1664</v>
      </c>
      <c r="C22" s="10">
        <f t="shared" si="1"/>
        <v>1074</v>
      </c>
      <c r="D22" s="7">
        <f>ROUND((1 + 'Business-Plan'!$B$27) * D21, 0)</f>
        <v>323</v>
      </c>
      <c r="E22" s="14">
        <f t="shared" si="3"/>
        <v>108</v>
      </c>
    </row>
    <row r="23" spans="1:5" x14ac:dyDescent="0.25">
      <c r="A23" s="4">
        <f t="shared" si="0"/>
        <v>20</v>
      </c>
      <c r="B23" s="10">
        <f t="shared" si="2"/>
        <v>1987</v>
      </c>
      <c r="C23" s="10">
        <f t="shared" si="1"/>
        <v>1289</v>
      </c>
      <c r="D23" s="7">
        <f>ROUND((1 + 'Business-Plan'!$B$27) * D22, 0)</f>
        <v>388</v>
      </c>
      <c r="E23" s="14">
        <f t="shared" si="3"/>
        <v>130</v>
      </c>
    </row>
    <row r="24" spans="1:5" x14ac:dyDescent="0.25">
      <c r="A24" s="4">
        <f t="shared" si="0"/>
        <v>21</v>
      </c>
      <c r="B24" s="10">
        <f t="shared" si="2"/>
        <v>2375</v>
      </c>
      <c r="C24" s="10">
        <f t="shared" si="1"/>
        <v>1547</v>
      </c>
      <c r="D24" s="7">
        <f>ROUND((1 + 'Business-Plan'!$B$27) * D23, 0)</f>
        <v>466</v>
      </c>
      <c r="E24" s="14">
        <f t="shared" si="3"/>
        <v>156</v>
      </c>
    </row>
    <row r="25" spans="1:5" x14ac:dyDescent="0.25">
      <c r="A25" s="4">
        <f t="shared" si="0"/>
        <v>22</v>
      </c>
      <c r="B25" s="10">
        <f t="shared" si="2"/>
        <v>2841</v>
      </c>
      <c r="C25" s="10">
        <f t="shared" si="1"/>
        <v>1857</v>
      </c>
      <c r="D25" s="7">
        <f>ROUND((1 + 'Business-Plan'!$B$27) * D24, 0)</f>
        <v>559</v>
      </c>
      <c r="E25" s="14">
        <f t="shared" si="3"/>
        <v>187</v>
      </c>
    </row>
    <row r="26" spans="1:5" x14ac:dyDescent="0.25">
      <c r="A26" s="4">
        <f t="shared" si="0"/>
        <v>23</v>
      </c>
      <c r="B26" s="10">
        <f t="shared" si="2"/>
        <v>3400</v>
      </c>
      <c r="C26" s="10">
        <f t="shared" si="1"/>
        <v>2229</v>
      </c>
      <c r="D26" s="7">
        <f>ROUND((1 + 'Business-Plan'!$B$27) * D25, 0)</f>
        <v>671</v>
      </c>
      <c r="E26" s="14">
        <f t="shared" si="3"/>
        <v>224</v>
      </c>
    </row>
    <row r="27" spans="1:5" ht="15.75" x14ac:dyDescent="0.25">
      <c r="A27" s="5">
        <f t="shared" si="0"/>
        <v>24</v>
      </c>
      <c r="B27" s="10">
        <f t="shared" si="2"/>
        <v>4071</v>
      </c>
      <c r="C27" s="10">
        <f t="shared" si="1"/>
        <v>2676</v>
      </c>
      <c r="D27" s="7">
        <f>ROUND((1 + 'Business-Plan'!$B$27) * D26, 0)</f>
        <v>805</v>
      </c>
      <c r="E27" s="14">
        <f t="shared" si="3"/>
        <v>269</v>
      </c>
    </row>
    <row r="28" spans="1:5" x14ac:dyDescent="0.25">
      <c r="A28" s="4">
        <f t="shared" si="0"/>
        <v>25</v>
      </c>
      <c r="B28" s="10">
        <f t="shared" si="2"/>
        <v>4876</v>
      </c>
      <c r="C28" s="10">
        <f t="shared" si="1"/>
        <v>3212</v>
      </c>
      <c r="D28" s="7">
        <f>ROUND((1 + 'Business-Plan'!$B$27) * D27, 0)</f>
        <v>966</v>
      </c>
      <c r="E28" s="14">
        <f t="shared" si="3"/>
        <v>323</v>
      </c>
    </row>
    <row r="29" spans="1:5" x14ac:dyDescent="0.25">
      <c r="A29" s="4">
        <f t="shared" si="0"/>
        <v>26</v>
      </c>
      <c r="B29" s="10">
        <f t="shared" si="2"/>
        <v>5842</v>
      </c>
      <c r="C29" s="10">
        <f t="shared" si="1"/>
        <v>3855</v>
      </c>
      <c r="D29" s="7">
        <f>ROUND((1 + 'Business-Plan'!$B$27) * D28, 0)</f>
        <v>1159</v>
      </c>
      <c r="E29" s="14">
        <f t="shared" si="3"/>
        <v>388</v>
      </c>
    </row>
    <row r="30" spans="1:5" x14ac:dyDescent="0.25">
      <c r="A30" s="4">
        <f t="shared" si="0"/>
        <v>27</v>
      </c>
      <c r="B30" s="10">
        <f t="shared" si="2"/>
        <v>7001</v>
      </c>
      <c r="C30" s="10">
        <f t="shared" si="1"/>
        <v>4626</v>
      </c>
      <c r="D30" s="7">
        <f>ROUND((1 + 'Business-Plan'!$B$27) * D29, 0)</f>
        <v>1391</v>
      </c>
      <c r="E30" s="14">
        <f t="shared" si="3"/>
        <v>466</v>
      </c>
    </row>
    <row r="31" spans="1:5" x14ac:dyDescent="0.25">
      <c r="A31" s="4">
        <f t="shared" si="0"/>
        <v>28</v>
      </c>
      <c r="B31" s="10">
        <f t="shared" si="2"/>
        <v>8392</v>
      </c>
      <c r="C31" s="10">
        <f t="shared" si="1"/>
        <v>5551</v>
      </c>
      <c r="D31" s="7">
        <f>ROUND((1 + 'Business-Plan'!$B$27) * D30, 0)</f>
        <v>1669</v>
      </c>
      <c r="E31" s="14">
        <f t="shared" si="3"/>
        <v>559</v>
      </c>
    </row>
    <row r="32" spans="1:5" x14ac:dyDescent="0.25">
      <c r="A32" s="4">
        <f t="shared" si="0"/>
        <v>29</v>
      </c>
      <c r="B32" s="10">
        <f t="shared" si="2"/>
        <v>10061</v>
      </c>
      <c r="C32" s="10">
        <f t="shared" si="1"/>
        <v>6661</v>
      </c>
      <c r="D32" s="7">
        <f>ROUND((1 + 'Business-Plan'!$B$27) * D31, 0)</f>
        <v>2003</v>
      </c>
      <c r="E32" s="14">
        <f t="shared" si="3"/>
        <v>671</v>
      </c>
    </row>
    <row r="33" spans="1:5" x14ac:dyDescent="0.25">
      <c r="A33" s="4">
        <f t="shared" si="0"/>
        <v>30</v>
      </c>
      <c r="B33" s="10">
        <f t="shared" si="2"/>
        <v>12064</v>
      </c>
      <c r="C33" s="10">
        <f t="shared" si="1"/>
        <v>7993</v>
      </c>
      <c r="D33" s="7">
        <f>ROUND((1 + 'Business-Plan'!$B$27) * D32, 0)</f>
        <v>2404</v>
      </c>
      <c r="E33" s="14">
        <f t="shared" si="3"/>
        <v>805</v>
      </c>
    </row>
    <row r="34" spans="1:5" x14ac:dyDescent="0.25">
      <c r="A34" s="4">
        <f t="shared" si="0"/>
        <v>31</v>
      </c>
      <c r="B34" s="10">
        <f t="shared" si="2"/>
        <v>14468</v>
      </c>
      <c r="C34" s="10">
        <f t="shared" si="1"/>
        <v>9592</v>
      </c>
      <c r="D34" s="7">
        <f>ROUND((1 + 'Business-Plan'!$B$27) * D33, 0)</f>
        <v>2885</v>
      </c>
      <c r="E34" s="14">
        <f t="shared" si="3"/>
        <v>966</v>
      </c>
    </row>
    <row r="35" spans="1:5" x14ac:dyDescent="0.25">
      <c r="A35" s="4">
        <f t="shared" si="0"/>
        <v>32</v>
      </c>
      <c r="B35" s="10">
        <f t="shared" si="2"/>
        <v>17353</v>
      </c>
      <c r="C35" s="10">
        <f t="shared" si="1"/>
        <v>11511</v>
      </c>
      <c r="D35" s="7">
        <f>ROUND((1 + 'Business-Plan'!$B$27) * D34, 0)</f>
        <v>3462</v>
      </c>
      <c r="E35" s="14">
        <f t="shared" si="3"/>
        <v>1159</v>
      </c>
    </row>
    <row r="36" spans="1:5" x14ac:dyDescent="0.25">
      <c r="A36" s="4">
        <f t="shared" si="0"/>
        <v>33</v>
      </c>
      <c r="B36" s="10">
        <f t="shared" si="2"/>
        <v>20815</v>
      </c>
      <c r="C36" s="10">
        <f t="shared" si="1"/>
        <v>13814</v>
      </c>
      <c r="D36" s="7">
        <f>ROUND((1 + 'Business-Plan'!$B$27) * D35, 0)</f>
        <v>4154</v>
      </c>
      <c r="E36" s="14">
        <f t="shared" si="3"/>
        <v>1391</v>
      </c>
    </row>
    <row r="37" spans="1:5" x14ac:dyDescent="0.25">
      <c r="A37" s="4">
        <f t="shared" si="0"/>
        <v>34</v>
      </c>
      <c r="B37" s="10">
        <f t="shared" si="2"/>
        <v>24969</v>
      </c>
      <c r="C37" s="10">
        <f t="shared" si="1"/>
        <v>16577</v>
      </c>
      <c r="D37" s="7">
        <f>ROUND((1 + 'Business-Plan'!$B$27) * D36, 0)</f>
        <v>4985</v>
      </c>
      <c r="E37" s="14">
        <f t="shared" si="3"/>
        <v>1669</v>
      </c>
    </row>
    <row r="38" spans="1:5" x14ac:dyDescent="0.25">
      <c r="A38" s="4">
        <f t="shared" si="0"/>
        <v>35</v>
      </c>
      <c r="B38" s="10">
        <f t="shared" si="2"/>
        <v>29954</v>
      </c>
      <c r="C38" s="10">
        <f t="shared" si="1"/>
        <v>19893</v>
      </c>
      <c r="D38" s="7">
        <f>ROUND((1 + 'Business-Plan'!$B$27) * D37, 0)</f>
        <v>5982</v>
      </c>
      <c r="E38" s="14">
        <f t="shared" si="3"/>
        <v>2003</v>
      </c>
    </row>
    <row r="39" spans="1:5" ht="15.75" x14ac:dyDescent="0.25">
      <c r="A39" s="5">
        <f t="shared" si="0"/>
        <v>36</v>
      </c>
      <c r="B39" s="10">
        <f t="shared" si="2"/>
        <v>35936</v>
      </c>
      <c r="C39" s="10">
        <f t="shared" si="1"/>
        <v>23872</v>
      </c>
      <c r="D39" s="7">
        <f>ROUND((1 + 'Business-Plan'!$B$28) * D38, 0)</f>
        <v>6778</v>
      </c>
      <c r="E39" s="14">
        <f t="shared" si="3"/>
        <v>2404</v>
      </c>
    </row>
    <row r="40" spans="1:5" x14ac:dyDescent="0.25">
      <c r="A40" s="4">
        <f t="shared" si="0"/>
        <v>37</v>
      </c>
      <c r="B40" s="10">
        <f t="shared" si="2"/>
        <v>42714</v>
      </c>
      <c r="C40" s="10">
        <f t="shared" si="1"/>
        <v>28246</v>
      </c>
      <c r="D40" s="7">
        <f>ROUND((1 + 'Business-Plan'!$B$28) * D39, 0)</f>
        <v>7679</v>
      </c>
      <c r="E40" s="14">
        <f t="shared" si="3"/>
        <v>2885</v>
      </c>
    </row>
    <row r="41" spans="1:5" x14ac:dyDescent="0.25">
      <c r="A41" s="4">
        <f t="shared" si="0"/>
        <v>38</v>
      </c>
      <c r="B41" s="10">
        <f t="shared" si="2"/>
        <v>50393</v>
      </c>
      <c r="C41" s="10">
        <f t="shared" si="1"/>
        <v>33040</v>
      </c>
      <c r="D41" s="7">
        <f>ROUND((1 + 'Business-Plan'!$B$28) * D40, 0)</f>
        <v>8700</v>
      </c>
      <c r="E41" s="14">
        <f t="shared" si="3"/>
        <v>3462</v>
      </c>
    </row>
    <row r="42" spans="1:5" x14ac:dyDescent="0.25">
      <c r="A42" s="4">
        <f t="shared" si="0"/>
        <v>39</v>
      </c>
      <c r="B42" s="10">
        <f t="shared" si="2"/>
        <v>59093</v>
      </c>
      <c r="C42" s="10">
        <f t="shared" si="1"/>
        <v>38278</v>
      </c>
      <c r="D42" s="7">
        <f>ROUND((1 + 'Business-Plan'!$B$28) * D41, 0)</f>
        <v>9857</v>
      </c>
      <c r="E42" s="14">
        <f t="shared" si="3"/>
        <v>4154</v>
      </c>
    </row>
    <row r="43" spans="1:5" x14ac:dyDescent="0.25">
      <c r="A43" s="4">
        <f t="shared" si="0"/>
        <v>40</v>
      </c>
      <c r="B43" s="10">
        <f t="shared" si="2"/>
        <v>68950</v>
      </c>
      <c r="C43" s="10">
        <f t="shared" si="1"/>
        <v>43981</v>
      </c>
      <c r="D43" s="7">
        <f>ROUND((1 + 'Business-Plan'!$B$28) * D42, 0)</f>
        <v>11168</v>
      </c>
      <c r="E43" s="14">
        <f t="shared" si="3"/>
        <v>4985</v>
      </c>
    </row>
    <row r="44" spans="1:5" x14ac:dyDescent="0.25">
      <c r="A44" s="4">
        <f t="shared" si="0"/>
        <v>41</v>
      </c>
      <c r="B44" s="10">
        <f t="shared" si="2"/>
        <v>80118</v>
      </c>
      <c r="C44" s="10">
        <f t="shared" si="1"/>
        <v>50164</v>
      </c>
      <c r="D44" s="7">
        <f>ROUND((1 + 'Business-Plan'!$B$28) * D43, 0)</f>
        <v>12653</v>
      </c>
      <c r="E44" s="14">
        <f t="shared" si="3"/>
        <v>5982</v>
      </c>
    </row>
    <row r="45" spans="1:5" x14ac:dyDescent="0.25">
      <c r="A45" s="4">
        <f t="shared" si="0"/>
        <v>42</v>
      </c>
      <c r="B45" s="10">
        <f t="shared" si="2"/>
        <v>92771</v>
      </c>
      <c r="C45" s="10">
        <f t="shared" si="1"/>
        <v>56835</v>
      </c>
      <c r="D45" s="7">
        <f>ROUND((1 + 'Business-Plan'!$B$28) * D44, 0)</f>
        <v>14336</v>
      </c>
      <c r="E45" s="14">
        <f t="shared" si="3"/>
        <v>6778</v>
      </c>
    </row>
    <row r="46" spans="1:5" x14ac:dyDescent="0.25">
      <c r="A46" s="4">
        <f t="shared" si="0"/>
        <v>43</v>
      </c>
      <c r="B46" s="10">
        <f t="shared" si="2"/>
        <v>107107</v>
      </c>
      <c r="C46" s="10">
        <f t="shared" si="1"/>
        <v>64393</v>
      </c>
      <c r="D46" s="7">
        <f>ROUND((1 + 'Business-Plan'!$B$28) * D45, 0)</f>
        <v>16243</v>
      </c>
      <c r="E46" s="14">
        <f t="shared" si="3"/>
        <v>7679</v>
      </c>
    </row>
    <row r="47" spans="1:5" x14ac:dyDescent="0.25">
      <c r="A47" s="4">
        <f t="shared" si="0"/>
        <v>44</v>
      </c>
      <c r="B47" s="10">
        <f t="shared" si="2"/>
        <v>123350</v>
      </c>
      <c r="C47" s="10">
        <f t="shared" si="1"/>
        <v>72957</v>
      </c>
      <c r="D47" s="7">
        <f>ROUND((1 + 'Business-Plan'!$B$28) * D46, 0)</f>
        <v>18403</v>
      </c>
      <c r="E47" s="14">
        <f t="shared" si="3"/>
        <v>8700</v>
      </c>
    </row>
    <row r="48" spans="1:5" x14ac:dyDescent="0.25">
      <c r="A48" s="4">
        <f t="shared" si="0"/>
        <v>45</v>
      </c>
      <c r="B48" s="10">
        <f t="shared" si="2"/>
        <v>141753</v>
      </c>
      <c r="C48" s="10">
        <f t="shared" si="1"/>
        <v>82660</v>
      </c>
      <c r="D48" s="7">
        <f>ROUND((1 + 'Business-Plan'!$B$28) * D47, 0)</f>
        <v>20851</v>
      </c>
      <c r="E48" s="14">
        <f t="shared" si="3"/>
        <v>9857</v>
      </c>
    </row>
    <row r="49" spans="1:5" x14ac:dyDescent="0.25">
      <c r="A49" s="4">
        <f t="shared" si="0"/>
        <v>46</v>
      </c>
      <c r="B49" s="10">
        <f t="shared" si="2"/>
        <v>162604</v>
      </c>
      <c r="C49" s="10">
        <f t="shared" si="1"/>
        <v>93654</v>
      </c>
      <c r="D49" s="7">
        <f>ROUND((1 + 'Business-Plan'!$B$28) * D48, 0)</f>
        <v>23624</v>
      </c>
      <c r="E49" s="14">
        <f t="shared" si="3"/>
        <v>11168</v>
      </c>
    </row>
    <row r="50" spans="1:5" x14ac:dyDescent="0.25">
      <c r="A50" s="4">
        <f t="shared" si="0"/>
        <v>47</v>
      </c>
      <c r="B50" s="10">
        <f t="shared" si="2"/>
        <v>186228</v>
      </c>
      <c r="C50" s="10">
        <f t="shared" si="1"/>
        <v>106110</v>
      </c>
      <c r="D50" s="7">
        <f>ROUND((1 + 'Business-Plan'!$B$28) * D49, 0)</f>
        <v>26766</v>
      </c>
      <c r="E50" s="14">
        <f t="shared" si="3"/>
        <v>12653</v>
      </c>
    </row>
    <row r="51" spans="1:5" ht="15.75" x14ac:dyDescent="0.25">
      <c r="A51" s="5">
        <f t="shared" si="0"/>
        <v>48</v>
      </c>
      <c r="B51" s="10">
        <f t="shared" si="2"/>
        <v>212994</v>
      </c>
      <c r="C51" s="10">
        <f t="shared" si="1"/>
        <v>120223</v>
      </c>
      <c r="D51" s="7">
        <f>ROUND((1 + 'Business-Plan'!$B$28) * D50, 0)</f>
        <v>30326</v>
      </c>
      <c r="E51" s="14">
        <f t="shared" si="3"/>
        <v>14336</v>
      </c>
    </row>
    <row r="52" spans="1:5" x14ac:dyDescent="0.25">
      <c r="A52" s="4">
        <f t="shared" si="0"/>
        <v>49</v>
      </c>
      <c r="B52" s="10">
        <f t="shared" si="2"/>
        <v>243320</v>
      </c>
      <c r="C52" s="10">
        <f t="shared" si="1"/>
        <v>136213</v>
      </c>
      <c r="D52" s="7">
        <f>ROUND((1 + 'Business-Plan'!$B$28) * D51, 0)</f>
        <v>34359</v>
      </c>
      <c r="E52" s="14">
        <f t="shared" si="3"/>
        <v>16243</v>
      </c>
    </row>
    <row r="53" spans="1:5" x14ac:dyDescent="0.25">
      <c r="A53" s="4">
        <f t="shared" si="0"/>
        <v>50</v>
      </c>
      <c r="B53" s="10">
        <f t="shared" si="2"/>
        <v>277679</v>
      </c>
      <c r="C53" s="10">
        <f t="shared" si="1"/>
        <v>154329</v>
      </c>
      <c r="D53" s="7">
        <f>ROUND((1 + 'Business-Plan'!$B$28) * D52, 0)</f>
        <v>38929</v>
      </c>
      <c r="E53" s="14">
        <f t="shared" si="3"/>
        <v>18403</v>
      </c>
    </row>
    <row r="54" spans="1:5" x14ac:dyDescent="0.25">
      <c r="A54" s="4">
        <f t="shared" si="0"/>
        <v>51</v>
      </c>
      <c r="B54" s="10">
        <f t="shared" si="2"/>
        <v>316608</v>
      </c>
      <c r="C54" s="10">
        <f t="shared" si="1"/>
        <v>174855</v>
      </c>
      <c r="D54" s="7">
        <f>ROUND((1 + 'Business-Plan'!$B$28) * D53, 0)</f>
        <v>44107</v>
      </c>
      <c r="E54" s="14">
        <f t="shared" si="3"/>
        <v>20851</v>
      </c>
    </row>
    <row r="55" spans="1:5" x14ac:dyDescent="0.25">
      <c r="A55" s="4">
        <f t="shared" si="0"/>
        <v>52</v>
      </c>
      <c r="B55" s="10">
        <f t="shared" si="2"/>
        <v>360715</v>
      </c>
      <c r="C55" s="10">
        <f t="shared" si="1"/>
        <v>198111</v>
      </c>
      <c r="D55" s="7">
        <f>ROUND((1 + 'Business-Plan'!$B$28) * D54, 0)</f>
        <v>49973</v>
      </c>
      <c r="E55" s="14">
        <f t="shared" si="3"/>
        <v>23624</v>
      </c>
    </row>
    <row r="56" spans="1:5" x14ac:dyDescent="0.25">
      <c r="A56" s="4">
        <f t="shared" si="0"/>
        <v>53</v>
      </c>
      <c r="B56" s="10">
        <f t="shared" si="2"/>
        <v>410688</v>
      </c>
      <c r="C56" s="10">
        <f t="shared" si="1"/>
        <v>224460</v>
      </c>
      <c r="D56" s="7">
        <f>ROUND((1 + 'Business-Plan'!$B$28) * D55, 0)</f>
        <v>56619</v>
      </c>
      <c r="E56" s="14">
        <f t="shared" si="3"/>
        <v>26766</v>
      </c>
    </row>
    <row r="57" spans="1:5" x14ac:dyDescent="0.25">
      <c r="A57" s="4">
        <f t="shared" si="0"/>
        <v>54</v>
      </c>
      <c r="B57" s="10">
        <f t="shared" si="2"/>
        <v>467307</v>
      </c>
      <c r="C57" s="10">
        <f t="shared" si="1"/>
        <v>254313</v>
      </c>
      <c r="D57" s="7">
        <f>ROUND((1 + 'Business-Plan'!$B$28) * D56, 0)</f>
        <v>64149</v>
      </c>
      <c r="E57" s="14">
        <f t="shared" si="3"/>
        <v>30326</v>
      </c>
    </row>
    <row r="58" spans="1:5" x14ac:dyDescent="0.25">
      <c r="A58" s="4">
        <f t="shared" si="0"/>
        <v>55</v>
      </c>
      <c r="B58" s="10">
        <f t="shared" si="2"/>
        <v>531456</v>
      </c>
      <c r="C58" s="10">
        <f t="shared" si="1"/>
        <v>288136</v>
      </c>
      <c r="D58" s="7">
        <f>ROUND((1 + 'Business-Plan'!$B$28) * D57, 0)</f>
        <v>72681</v>
      </c>
      <c r="E58" s="14">
        <f t="shared" si="3"/>
        <v>34359</v>
      </c>
    </row>
    <row r="59" spans="1:5" x14ac:dyDescent="0.25">
      <c r="A59" s="4">
        <f t="shared" si="0"/>
        <v>56</v>
      </c>
      <c r="B59" s="10">
        <f t="shared" si="2"/>
        <v>604137</v>
      </c>
      <c r="C59" s="10">
        <f t="shared" si="1"/>
        <v>326458</v>
      </c>
      <c r="D59" s="7">
        <f>ROUND((1 + 'Business-Plan'!$B$28) * D58, 0)</f>
        <v>82348</v>
      </c>
      <c r="E59" s="14">
        <f t="shared" si="3"/>
        <v>38929</v>
      </c>
    </row>
    <row r="60" spans="1:5" x14ac:dyDescent="0.25">
      <c r="A60" s="4">
        <f t="shared" si="0"/>
        <v>57</v>
      </c>
      <c r="B60" s="10">
        <f t="shared" si="2"/>
        <v>686485</v>
      </c>
      <c r="C60" s="10">
        <f t="shared" si="1"/>
        <v>369877</v>
      </c>
      <c r="D60" s="7">
        <f>ROUND((1 + 'Business-Plan'!$B$28) * D59, 0)</f>
        <v>93300</v>
      </c>
      <c r="E60" s="14">
        <f t="shared" si="3"/>
        <v>44107</v>
      </c>
    </row>
    <row r="61" spans="1:5" x14ac:dyDescent="0.25">
      <c r="A61" s="4">
        <f t="shared" si="0"/>
        <v>58</v>
      </c>
      <c r="B61" s="10">
        <f t="shared" si="2"/>
        <v>779785</v>
      </c>
      <c r="C61" s="10">
        <f t="shared" si="1"/>
        <v>419070</v>
      </c>
      <c r="D61" s="7">
        <f>ROUND((1 + 'Business-Plan'!$B$28) * D60, 0)</f>
        <v>105709</v>
      </c>
      <c r="E61" s="14">
        <f t="shared" si="3"/>
        <v>49973</v>
      </c>
    </row>
    <row r="62" spans="1:5" x14ac:dyDescent="0.25">
      <c r="A62" s="4">
        <f t="shared" si="0"/>
        <v>59</v>
      </c>
      <c r="B62" s="10">
        <f t="shared" si="2"/>
        <v>885494</v>
      </c>
      <c r="C62" s="10">
        <f t="shared" si="1"/>
        <v>474806</v>
      </c>
      <c r="D62" s="7">
        <f>ROUND((1 + 'Business-Plan'!$B$28) * D61, 0)</f>
        <v>119768</v>
      </c>
      <c r="E62" s="14">
        <f t="shared" si="3"/>
        <v>56619</v>
      </c>
    </row>
    <row r="63" spans="1:5" ht="15.75" x14ac:dyDescent="0.25">
      <c r="A63" s="5">
        <f t="shared" si="0"/>
        <v>60</v>
      </c>
      <c r="B63" s="10">
        <f t="shared" si="2"/>
        <v>1005262</v>
      </c>
      <c r="C63" s="10">
        <f t="shared" si="1"/>
        <v>537955</v>
      </c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3D62-2A85-47D0-A472-66EAA00E9EA0}">
  <dimension ref="A1:Q35"/>
  <sheetViews>
    <sheetView workbookViewId="0">
      <selection activeCell="N1" sqref="N1:N1048576"/>
    </sheetView>
  </sheetViews>
  <sheetFormatPr baseColWidth="10" defaultRowHeight="15" x14ac:dyDescent="0.25"/>
  <cols>
    <col min="1" max="1" width="25.28515625" customWidth="1"/>
    <col min="2" max="2" width="17.140625" customWidth="1"/>
    <col min="3" max="3" width="3.85546875" customWidth="1"/>
    <col min="4" max="5" width="15.85546875" customWidth="1"/>
    <col min="6" max="6" width="3.28515625" customWidth="1"/>
    <col min="7" max="8" width="21.5703125" customWidth="1"/>
    <col min="9" max="10" width="20.42578125" customWidth="1"/>
    <col min="11" max="11" width="3.140625" customWidth="1"/>
    <col min="12" max="12" width="17" customWidth="1"/>
    <col min="13" max="13" width="20.42578125" customWidth="1"/>
    <col min="14" max="14" width="3.42578125" customWidth="1"/>
    <col min="15" max="15" width="16.42578125" customWidth="1"/>
    <col min="16" max="16" width="16.140625" customWidth="1"/>
  </cols>
  <sheetData>
    <row r="1" spans="1:17" ht="30" x14ac:dyDescent="0.25">
      <c r="D1" s="43" t="s">
        <v>91</v>
      </c>
      <c r="E1" s="43" t="s">
        <v>92</v>
      </c>
      <c r="F1" s="43"/>
      <c r="G1" s="59" t="s">
        <v>93</v>
      </c>
      <c r="H1" s="59" t="s">
        <v>94</v>
      </c>
      <c r="I1" s="59" t="s">
        <v>95</v>
      </c>
      <c r="J1" s="59" t="s">
        <v>96</v>
      </c>
      <c r="K1" s="59"/>
      <c r="L1" s="43" t="s">
        <v>108</v>
      </c>
      <c r="M1" s="43" t="s">
        <v>97</v>
      </c>
      <c r="N1" s="43"/>
      <c r="O1" s="43" t="s">
        <v>90</v>
      </c>
      <c r="P1" s="59" t="s">
        <v>89</v>
      </c>
    </row>
    <row r="3" spans="1:17" x14ac:dyDescent="0.25">
      <c r="A3" s="60" t="s">
        <v>98</v>
      </c>
      <c r="B3" s="61">
        <v>50000</v>
      </c>
      <c r="D3" s="40">
        <v>0</v>
      </c>
      <c r="E3" s="40">
        <f>$B$5</f>
        <v>20000000</v>
      </c>
      <c r="F3" s="40"/>
      <c r="G3" s="67">
        <f>$B$4</f>
        <v>0.25</v>
      </c>
      <c r="H3" s="67">
        <f>$B$4</f>
        <v>0.25</v>
      </c>
      <c r="I3" s="39"/>
      <c r="J3" s="39"/>
      <c r="K3" s="39"/>
      <c r="L3" s="40">
        <f>E3-D3</f>
        <v>20000000</v>
      </c>
      <c r="M3" s="28">
        <f>(E3-D3)/100*AVERAGE(G3:H3)</f>
        <v>50000</v>
      </c>
      <c r="N3" s="28"/>
      <c r="O3" s="28">
        <f>O2+M3</f>
        <v>50000</v>
      </c>
      <c r="P3" s="67">
        <f>100*O3/E3</f>
        <v>0.25</v>
      </c>
    </row>
    <row r="4" spans="1:17" x14ac:dyDescent="0.25">
      <c r="A4" s="60" t="s">
        <v>99</v>
      </c>
      <c r="B4" s="62">
        <v>0.25</v>
      </c>
      <c r="D4" s="40">
        <f>E3</f>
        <v>20000000</v>
      </c>
      <c r="E4" s="40">
        <f>E3+$B$9</f>
        <v>31764705.882352941</v>
      </c>
      <c r="F4" s="40"/>
      <c r="G4" s="67">
        <f>$B$8</f>
        <v>0.85</v>
      </c>
      <c r="H4" s="67">
        <f>$B$8</f>
        <v>0.85</v>
      </c>
      <c r="I4" s="39"/>
      <c r="J4" s="39"/>
      <c r="K4" s="39"/>
      <c r="L4" s="40">
        <f t="shared" ref="L4:L31" si="0">E4-D4</f>
        <v>11764705.882352941</v>
      </c>
      <c r="M4" s="28">
        <f>(E4-D4)/100*AVERAGE(G4:H4)</f>
        <v>100000</v>
      </c>
      <c r="N4" s="28"/>
      <c r="O4" s="28">
        <f>O3+M4</f>
        <v>150000</v>
      </c>
      <c r="P4" s="67">
        <f>100*O4/E4</f>
        <v>0.47222222222222221</v>
      </c>
    </row>
    <row r="5" spans="1:17" x14ac:dyDescent="0.25">
      <c r="A5" s="60" t="s">
        <v>105</v>
      </c>
      <c r="B5" s="66">
        <f>100 * $B$3 / $B$4</f>
        <v>20000000</v>
      </c>
      <c r="D5" s="40">
        <f t="shared" ref="D5:D31" si="1">E4</f>
        <v>31764705.882352941</v>
      </c>
      <c r="E5" s="40">
        <f>$B$17</f>
        <v>80000000</v>
      </c>
      <c r="F5" s="40"/>
      <c r="G5" s="67">
        <f>2*$B$18-H5</f>
        <v>0.86585365853658525</v>
      </c>
      <c r="H5" s="67">
        <v>1</v>
      </c>
      <c r="L5" s="40">
        <f t="shared" si="0"/>
        <v>48235294.117647059</v>
      </c>
      <c r="M5" s="28">
        <f>(E5-D5)/100*AVERAGE(G5:H5)</f>
        <v>450000</v>
      </c>
      <c r="N5" s="28"/>
      <c r="O5" s="28">
        <f>O4+M5</f>
        <v>600000</v>
      </c>
      <c r="P5" s="67">
        <f>100*O5/E5</f>
        <v>0.75</v>
      </c>
    </row>
    <row r="6" spans="1:17" x14ac:dyDescent="0.25">
      <c r="D6" s="40">
        <f t="shared" si="1"/>
        <v>80000000</v>
      </c>
      <c r="E6" s="40">
        <v>100000000</v>
      </c>
      <c r="F6" s="40"/>
      <c r="G6" s="67">
        <f>$I6 * (LN($B$21) * (2 * LN($D6/$B$17) + LN(2)) + 1)</f>
        <v>0.78273810336378391</v>
      </c>
      <c r="H6" s="67">
        <f>G7</f>
        <v>0.81423368143863861</v>
      </c>
      <c r="I6" s="67">
        <f>$B$13 * ($B$21^(LN(2*$D6/$B$17)*LN($D6/$B$17)))</f>
        <v>0.75</v>
      </c>
      <c r="J6" s="67">
        <f>I7</f>
        <v>0.7597195173450414</v>
      </c>
      <c r="K6" s="67"/>
      <c r="L6" s="40">
        <f t="shared" si="0"/>
        <v>20000000</v>
      </c>
      <c r="M6" s="28">
        <f>(E6-D6)/100*AVERAGE(G6:H6)</f>
        <v>159697.17848024226</v>
      </c>
      <c r="N6" s="28"/>
      <c r="O6" s="28">
        <f t="shared" ref="O6:O12" si="2">O5+M6</f>
        <v>759697.17848024226</v>
      </c>
      <c r="P6" s="67">
        <f t="shared" ref="P6:P12" si="3">100*O6/E6</f>
        <v>0.75969717848024221</v>
      </c>
    </row>
    <row r="7" spans="1:17" x14ac:dyDescent="0.25">
      <c r="A7" s="60" t="s">
        <v>100</v>
      </c>
      <c r="B7" s="61">
        <v>100000</v>
      </c>
      <c r="D7" s="40">
        <f t="shared" si="1"/>
        <v>100000000</v>
      </c>
      <c r="E7" s="40">
        <v>125000000</v>
      </c>
      <c r="F7" s="40"/>
      <c r="G7" s="67">
        <f t="shared" ref="G7:G31" si="4">$I7 * (LN($B$21) * (2 * LN($D7/$B$17) + LN(2)) + 1)</f>
        <v>0.81423368143863861</v>
      </c>
      <c r="H7" s="67">
        <f t="shared" ref="H7:H30" si="5">G8</f>
        <v>0.85173902069323792</v>
      </c>
      <c r="I7" s="67">
        <f t="shared" ref="I7:I31" si="6">$B$13 * ($B$21^(LN(2*$D7/$B$17)*LN($D7/$B$17)))</f>
        <v>0.7597195173450414</v>
      </c>
      <c r="J7" s="67">
        <f t="shared" ref="J7:J30" si="7">I8</f>
        <v>0.77440641944279898</v>
      </c>
      <c r="K7" s="67"/>
      <c r="L7" s="40">
        <f t="shared" si="0"/>
        <v>25000000</v>
      </c>
      <c r="M7" s="28">
        <f t="shared" ref="M7:M12" si="8">(E7-D7)/100*AVERAGE(G7:H7)</f>
        <v>208246.58776648459</v>
      </c>
      <c r="N7" s="28"/>
      <c r="O7" s="28">
        <f t="shared" si="2"/>
        <v>967943.76624672685</v>
      </c>
      <c r="P7" s="67">
        <f t="shared" si="3"/>
        <v>0.77435501299738141</v>
      </c>
    </row>
    <row r="8" spans="1:17" x14ac:dyDescent="0.25">
      <c r="A8" s="60" t="s">
        <v>99</v>
      </c>
      <c r="B8" s="62">
        <v>0.85</v>
      </c>
      <c r="D8" s="40">
        <f t="shared" si="1"/>
        <v>125000000</v>
      </c>
      <c r="E8" s="40">
        <v>150000000</v>
      </c>
      <c r="F8" s="40"/>
      <c r="G8" s="67">
        <f t="shared" si="4"/>
        <v>0.85173902069323792</v>
      </c>
      <c r="H8" s="67">
        <f t="shared" si="5"/>
        <v>0.8873537091722522</v>
      </c>
      <c r="I8" s="67">
        <f t="shared" si="6"/>
        <v>0.77440641944279898</v>
      </c>
      <c r="J8" s="67">
        <f t="shared" si="7"/>
        <v>0.79028757600419763</v>
      </c>
      <c r="K8" s="67"/>
      <c r="L8" s="40">
        <f t="shared" si="0"/>
        <v>25000000</v>
      </c>
      <c r="M8" s="28">
        <f t="shared" si="8"/>
        <v>217386.59123318628</v>
      </c>
      <c r="N8" s="28"/>
      <c r="O8" s="28">
        <f t="shared" si="2"/>
        <v>1185330.3574799132</v>
      </c>
      <c r="P8" s="67">
        <f t="shared" si="3"/>
        <v>0.79022023831994215</v>
      </c>
      <c r="Q8">
        <f>G8/G7</f>
        <v>1.0460621319279406</v>
      </c>
    </row>
    <row r="9" spans="1:17" x14ac:dyDescent="0.25">
      <c r="A9" s="60" t="s">
        <v>106</v>
      </c>
      <c r="B9" s="66">
        <f>100 * $B$7 / $B$8</f>
        <v>11764705.882352941</v>
      </c>
      <c r="D9" s="40">
        <f t="shared" si="1"/>
        <v>150000000</v>
      </c>
      <c r="E9" s="40">
        <v>175000000</v>
      </c>
      <c r="F9" s="40"/>
      <c r="G9" s="67">
        <f t="shared" si="4"/>
        <v>0.8873537091722522</v>
      </c>
      <c r="H9" s="67">
        <f t="shared" si="5"/>
        <v>0.92132891870208433</v>
      </c>
      <c r="I9" s="67">
        <f t="shared" si="6"/>
        <v>0.79028757600419763</v>
      </c>
      <c r="J9" s="67">
        <f t="shared" si="7"/>
        <v>0.80659905276756527</v>
      </c>
      <c r="K9" s="67"/>
      <c r="L9" s="40">
        <f t="shared" si="0"/>
        <v>25000000</v>
      </c>
      <c r="M9" s="28">
        <f t="shared" si="8"/>
        <v>226085.32848429208</v>
      </c>
      <c r="N9" s="28"/>
      <c r="O9" s="28">
        <f t="shared" si="2"/>
        <v>1411415.6859642053</v>
      </c>
      <c r="P9" s="67">
        <f t="shared" si="3"/>
        <v>0.80652324912240303</v>
      </c>
      <c r="Q9">
        <f t="shared" ref="Q9:Q13" si="9">G9/G8</f>
        <v>1.0418140857865443</v>
      </c>
    </row>
    <row r="10" spans="1:17" x14ac:dyDescent="0.25">
      <c r="D10" s="40">
        <f t="shared" si="1"/>
        <v>175000000</v>
      </c>
      <c r="E10" s="40">
        <v>200000000</v>
      </c>
      <c r="F10" s="40"/>
      <c r="G10" s="67">
        <f t="shared" si="4"/>
        <v>0.92132891870208433</v>
      </c>
      <c r="H10" s="67">
        <f t="shared" si="5"/>
        <v>0.95389149390108574</v>
      </c>
      <c r="I10" s="67">
        <f t="shared" si="6"/>
        <v>0.80659905276756527</v>
      </c>
      <c r="J10" s="67">
        <f t="shared" si="7"/>
        <v>0.8229891064633641</v>
      </c>
      <c r="K10" s="67"/>
      <c r="L10" s="40">
        <f t="shared" si="0"/>
        <v>25000000</v>
      </c>
      <c r="M10" s="28">
        <f t="shared" si="8"/>
        <v>234402.55157539624</v>
      </c>
      <c r="N10" s="28"/>
      <c r="O10" s="28">
        <f t="shared" si="2"/>
        <v>1645818.2375396015</v>
      </c>
      <c r="P10" s="67">
        <f t="shared" si="3"/>
        <v>0.82290911876980077</v>
      </c>
      <c r="Q10">
        <f t="shared" si="9"/>
        <v>1.0382882374622913</v>
      </c>
    </row>
    <row r="11" spans="1:17" x14ac:dyDescent="0.25">
      <c r="D11" s="40">
        <f t="shared" si="1"/>
        <v>200000000</v>
      </c>
      <c r="E11" s="40">
        <v>250000000</v>
      </c>
      <c r="F11" s="40"/>
      <c r="G11" s="67">
        <f t="shared" si="4"/>
        <v>0.95389149390108574</v>
      </c>
      <c r="H11" s="67">
        <f t="shared" si="5"/>
        <v>1.0155005639834489</v>
      </c>
      <c r="I11" s="67">
        <f t="shared" si="6"/>
        <v>0.8229891064633641</v>
      </c>
      <c r="J11" s="67">
        <f t="shared" si="7"/>
        <v>0.85540177576344834</v>
      </c>
      <c r="K11" s="67"/>
      <c r="L11" s="40">
        <f t="shared" si="0"/>
        <v>50000000</v>
      </c>
      <c r="M11" s="28">
        <f t="shared" si="8"/>
        <v>492348.01447113365</v>
      </c>
      <c r="N11" s="28"/>
      <c r="O11" s="28">
        <f t="shared" si="2"/>
        <v>2138166.2520107352</v>
      </c>
      <c r="P11" s="67">
        <f t="shared" si="3"/>
        <v>0.85526650080429412</v>
      </c>
      <c r="Q11">
        <f t="shared" si="9"/>
        <v>1.0353430512578219</v>
      </c>
    </row>
    <row r="12" spans="1:17" x14ac:dyDescent="0.25">
      <c r="A12" s="60" t="s">
        <v>101</v>
      </c>
      <c r="B12" s="61">
        <v>600000</v>
      </c>
      <c r="D12" s="40">
        <f t="shared" si="1"/>
        <v>250000000</v>
      </c>
      <c r="E12" s="40">
        <v>300000000</v>
      </c>
      <c r="F12" s="40"/>
      <c r="G12" s="67">
        <f t="shared" si="4"/>
        <v>1.0155005639834489</v>
      </c>
      <c r="H12" s="67">
        <f t="shared" si="5"/>
        <v>1.0733204207466358</v>
      </c>
      <c r="I12" s="67">
        <f t="shared" si="6"/>
        <v>0.85540177576344834</v>
      </c>
      <c r="J12" s="67">
        <f t="shared" si="7"/>
        <v>0.88694973395172982</v>
      </c>
      <c r="K12" s="67"/>
      <c r="L12" s="40">
        <f t="shared" si="0"/>
        <v>50000000</v>
      </c>
      <c r="M12" s="28">
        <f t="shared" si="8"/>
        <v>522205.24618252116</v>
      </c>
      <c r="N12" s="28"/>
      <c r="O12" s="28">
        <f t="shared" si="2"/>
        <v>2660371.4981932566</v>
      </c>
      <c r="P12" s="67">
        <f t="shared" si="3"/>
        <v>0.88679049939775223</v>
      </c>
      <c r="Q12">
        <f t="shared" si="9"/>
        <v>1.0645870840407681</v>
      </c>
    </row>
    <row r="13" spans="1:17" ht="30" x14ac:dyDescent="0.25">
      <c r="A13" s="63" t="s">
        <v>102</v>
      </c>
      <c r="B13" s="62">
        <v>0.75</v>
      </c>
      <c r="D13" s="40">
        <f t="shared" si="1"/>
        <v>300000000</v>
      </c>
      <c r="E13" s="40">
        <v>350000000</v>
      </c>
      <c r="F13" s="40"/>
      <c r="G13" s="67">
        <f t="shared" si="4"/>
        <v>1.0733204207466358</v>
      </c>
      <c r="H13" s="67">
        <f t="shared" si="5"/>
        <v>1.1281296421011546</v>
      </c>
      <c r="I13" s="67">
        <f t="shared" si="6"/>
        <v>0.88694973395172982</v>
      </c>
      <c r="J13" s="67">
        <f t="shared" si="7"/>
        <v>0.91752123305503508</v>
      </c>
      <c r="K13" s="67"/>
      <c r="L13" s="40">
        <f t="shared" si="0"/>
        <v>50000000</v>
      </c>
      <c r="M13" s="28">
        <f>(E13-D13)/100*AVERAGE(G13:H13)</f>
        <v>550362.51571194758</v>
      </c>
      <c r="N13" s="28"/>
      <c r="O13" s="28">
        <f t="shared" ref="O13:O30" si="10">O12+M13</f>
        <v>3210734.0139052039</v>
      </c>
      <c r="P13" s="67">
        <f>100*O13/E13</f>
        <v>0.91735257540148685</v>
      </c>
      <c r="Q13">
        <f t="shared" si="9"/>
        <v>1.0569372965548931</v>
      </c>
    </row>
    <row r="14" spans="1:17" x14ac:dyDescent="0.25">
      <c r="D14" s="40">
        <f t="shared" si="1"/>
        <v>350000000</v>
      </c>
      <c r="E14" s="40">
        <v>400000000</v>
      </c>
      <c r="F14" s="40"/>
      <c r="G14" s="67">
        <f t="shared" si="4"/>
        <v>1.1281296421011546</v>
      </c>
      <c r="H14" s="67">
        <f t="shared" si="5"/>
        <v>1.180479362659999</v>
      </c>
      <c r="I14" s="67">
        <f t="shared" si="6"/>
        <v>0.91752123305503508</v>
      </c>
      <c r="J14" s="67">
        <f t="shared" si="7"/>
        <v>0.94714243034411028</v>
      </c>
      <c r="K14" s="67"/>
      <c r="L14" s="40">
        <f t="shared" si="0"/>
        <v>50000000</v>
      </c>
      <c r="M14" s="28">
        <f>(E14-D14)/100*AVERAGE(G14:H14)</f>
        <v>577152.25119028846</v>
      </c>
      <c r="N14" s="28"/>
      <c r="O14" s="28">
        <f t="shared" si="10"/>
        <v>3787886.2650954924</v>
      </c>
      <c r="P14" s="67">
        <f>100*O14/E14</f>
        <v>0.94697156627387313</v>
      </c>
    </row>
    <row r="15" spans="1:17" x14ac:dyDescent="0.25">
      <c r="D15" s="40">
        <f t="shared" si="1"/>
        <v>400000000</v>
      </c>
      <c r="E15" s="40">
        <v>450000000</v>
      </c>
      <c r="F15" s="40"/>
      <c r="G15" s="67">
        <f t="shared" si="4"/>
        <v>1.180479362659999</v>
      </c>
      <c r="H15" s="67">
        <f t="shared" si="5"/>
        <v>1.2307740794489492</v>
      </c>
      <c r="I15" s="67">
        <f t="shared" si="6"/>
        <v>0.94714243034411028</v>
      </c>
      <c r="J15" s="67">
        <f t="shared" si="7"/>
        <v>0.97588038035920954</v>
      </c>
      <c r="K15" s="67"/>
      <c r="L15" s="40">
        <f t="shared" si="0"/>
        <v>50000000</v>
      </c>
      <c r="M15" s="28">
        <f>(E15-D15)/100*AVERAGE(G15:H15)</f>
        <v>602813.36052723695</v>
      </c>
      <c r="N15" s="28"/>
      <c r="O15" s="28">
        <f t="shared" si="10"/>
        <v>4390699.6256227288</v>
      </c>
      <c r="P15" s="67">
        <f>100*O15/E15</f>
        <v>0.97571102791616204</v>
      </c>
    </row>
    <row r="16" spans="1:17" x14ac:dyDescent="0.25">
      <c r="D16" s="40">
        <f t="shared" si="1"/>
        <v>450000000</v>
      </c>
      <c r="E16" s="40">
        <v>500000000</v>
      </c>
      <c r="F16" s="40"/>
      <c r="G16" s="67">
        <f t="shared" si="4"/>
        <v>1.2307740794489492</v>
      </c>
      <c r="H16" s="67">
        <f t="shared" si="5"/>
        <v>1.2793201048315386</v>
      </c>
      <c r="I16" s="67">
        <f t="shared" si="6"/>
        <v>0.97588038035920954</v>
      </c>
      <c r="J16" s="67">
        <f t="shared" si="7"/>
        <v>1.0038105448428103</v>
      </c>
      <c r="K16" s="67"/>
      <c r="L16" s="40">
        <f t="shared" si="0"/>
        <v>50000000</v>
      </c>
      <c r="M16" s="28">
        <f>(E16-D16)/100*AVERAGE(G16:H16)</f>
        <v>627523.54607012193</v>
      </c>
      <c r="N16" s="28"/>
      <c r="O16" s="28">
        <f t="shared" si="10"/>
        <v>5018223.171692851</v>
      </c>
      <c r="P16" s="67">
        <f>100*O16/E16</f>
        <v>1.0036446343385703</v>
      </c>
    </row>
    <row r="17" spans="1:16" x14ac:dyDescent="0.25">
      <c r="A17" s="60" t="s">
        <v>104</v>
      </c>
      <c r="B17" s="65">
        <f>100*$B$12/$B$13</f>
        <v>80000000</v>
      </c>
      <c r="D17" s="40">
        <f t="shared" si="1"/>
        <v>500000000</v>
      </c>
      <c r="E17" s="40">
        <v>600000000</v>
      </c>
      <c r="F17" s="40"/>
      <c r="G17" s="67">
        <f t="shared" si="4"/>
        <v>1.2793201048315386</v>
      </c>
      <c r="H17" s="67">
        <f t="shared" si="5"/>
        <v>1.3720698013237755</v>
      </c>
      <c r="I17" s="67">
        <f t="shared" si="6"/>
        <v>1.0038105448428103</v>
      </c>
      <c r="J17" s="67">
        <f t="shared" si="7"/>
        <v>1.0575313824844677</v>
      </c>
      <c r="K17" s="67"/>
      <c r="L17" s="40">
        <f t="shared" si="0"/>
        <v>100000000</v>
      </c>
      <c r="M17" s="28">
        <f>(E17-D17)/100*AVERAGE(G17:H17)</f>
        <v>1325694.9530776571</v>
      </c>
      <c r="N17" s="28"/>
      <c r="O17" s="28">
        <f t="shared" si="10"/>
        <v>6343918.1247705081</v>
      </c>
      <c r="P17" s="67">
        <f>100*O17/E17</f>
        <v>1.0573196874617512</v>
      </c>
    </row>
    <row r="18" spans="1:16" x14ac:dyDescent="0.25">
      <c r="A18" s="64" t="s">
        <v>103</v>
      </c>
      <c r="B18" s="39">
        <f>100* ($B$12-$B$7-$B$3) / ($B$17-$B$5-$B$9)</f>
        <v>0.93292682926829262</v>
      </c>
      <c r="D18" s="40">
        <f t="shared" si="1"/>
        <v>600000000</v>
      </c>
      <c r="E18" s="40">
        <v>700000000</v>
      </c>
      <c r="F18" s="40"/>
      <c r="G18" s="67">
        <f t="shared" si="4"/>
        <v>1.3720698013237755</v>
      </c>
      <c r="H18" s="67">
        <f t="shared" si="5"/>
        <v>1.4601204821009788</v>
      </c>
      <c r="I18" s="67">
        <f t="shared" si="6"/>
        <v>1.0575313824844677</v>
      </c>
      <c r="J18" s="67">
        <f t="shared" si="7"/>
        <v>1.1088044036128359</v>
      </c>
      <c r="K18" s="67"/>
      <c r="L18" s="40">
        <f t="shared" si="0"/>
        <v>100000000</v>
      </c>
      <c r="M18" s="28">
        <f>(E18-D18)/100*AVERAGE(G18:H18)</f>
        <v>1416095.1417123773</v>
      </c>
      <c r="N18" s="28"/>
      <c r="O18" s="28">
        <f t="shared" si="10"/>
        <v>7760013.2664828859</v>
      </c>
      <c r="P18" s="67">
        <f>100*O18/E18</f>
        <v>1.1085733237832693</v>
      </c>
    </row>
    <row r="19" spans="1:16" x14ac:dyDescent="0.25">
      <c r="D19" s="40">
        <f t="shared" si="1"/>
        <v>700000000</v>
      </c>
      <c r="E19" s="40">
        <v>800000000</v>
      </c>
      <c r="F19" s="40"/>
      <c r="G19" s="67">
        <f t="shared" si="4"/>
        <v>1.4601204821009788</v>
      </c>
      <c r="H19" s="67">
        <f t="shared" si="5"/>
        <v>1.5444084925591113</v>
      </c>
      <c r="I19" s="67">
        <f t="shared" si="6"/>
        <v>1.1088044036128359</v>
      </c>
      <c r="J19" s="67">
        <f t="shared" si="7"/>
        <v>1.1580222439848162</v>
      </c>
      <c r="K19" s="67"/>
      <c r="L19" s="40">
        <f t="shared" si="0"/>
        <v>100000000</v>
      </c>
      <c r="M19" s="28">
        <f>(E19-D19)/100*AVERAGE(G19:H19)</f>
        <v>1502264.4873300451</v>
      </c>
      <c r="N19" s="28"/>
      <c r="O19" s="28">
        <f t="shared" si="10"/>
        <v>9262277.7538129315</v>
      </c>
      <c r="P19" s="67">
        <f>100*O19/E19</f>
        <v>1.1577847192266164</v>
      </c>
    </row>
    <row r="20" spans="1:16" x14ac:dyDescent="0.25">
      <c r="D20" s="40">
        <f t="shared" si="1"/>
        <v>800000000</v>
      </c>
      <c r="E20" s="40">
        <v>900000000</v>
      </c>
      <c r="F20" s="40"/>
      <c r="G20" s="67">
        <f t="shared" si="4"/>
        <v>1.5444084925591113</v>
      </c>
      <c r="H20" s="67">
        <f t="shared" si="5"/>
        <v>1.6255985288322252</v>
      </c>
      <c r="I20" s="67">
        <f t="shared" si="6"/>
        <v>1.1580222439848162</v>
      </c>
      <c r="J20" s="67">
        <f t="shared" si="7"/>
        <v>1.2054907804970878</v>
      </c>
      <c r="K20" s="67"/>
      <c r="L20" s="40">
        <f t="shared" si="0"/>
        <v>100000000</v>
      </c>
      <c r="M20" s="28">
        <f>(E20-D20)/100*AVERAGE(G20:H20)</f>
        <v>1585003.5106956684</v>
      </c>
      <c r="N20" s="28"/>
      <c r="O20" s="28">
        <f t="shared" si="10"/>
        <v>10847281.264508599</v>
      </c>
      <c r="P20" s="67">
        <f>100*O20/E20</f>
        <v>1.2052534738342888</v>
      </c>
    </row>
    <row r="21" spans="1:16" x14ac:dyDescent="0.25">
      <c r="A21" s="60" t="s">
        <v>107</v>
      </c>
      <c r="B21" s="57">
        <v>1.0649999999999999</v>
      </c>
      <c r="D21" s="40">
        <f t="shared" si="1"/>
        <v>900000000</v>
      </c>
      <c r="E21" s="40">
        <v>1000000000</v>
      </c>
      <c r="F21" s="40"/>
      <c r="G21" s="67">
        <f t="shared" si="4"/>
        <v>1.6255985288322252</v>
      </c>
      <c r="H21" s="67">
        <f t="shared" si="5"/>
        <v>1.704182220615345</v>
      </c>
      <c r="I21" s="67">
        <f t="shared" si="6"/>
        <v>1.2054907804970878</v>
      </c>
      <c r="J21" s="67">
        <f t="shared" si="7"/>
        <v>1.25145074904751</v>
      </c>
      <c r="K21" s="67"/>
      <c r="L21" s="40">
        <f t="shared" si="0"/>
        <v>100000000</v>
      </c>
      <c r="M21" s="28">
        <f>(E21-D21)/100*AVERAGE(G21:H21)</f>
        <v>1664890.3747237851</v>
      </c>
      <c r="N21" s="28"/>
      <c r="O21" s="28">
        <f t="shared" si="10"/>
        <v>12512171.639232384</v>
      </c>
      <c r="P21" s="67">
        <f>100*O21/E21</f>
        <v>1.2512171639232386</v>
      </c>
    </row>
    <row r="22" spans="1:16" x14ac:dyDescent="0.25">
      <c r="D22" s="40">
        <f t="shared" si="1"/>
        <v>1000000000</v>
      </c>
      <c r="E22" s="40">
        <v>1250000000</v>
      </c>
      <c r="F22" s="40"/>
      <c r="G22" s="67">
        <f t="shared" si="4"/>
        <v>1.704182220615345</v>
      </c>
      <c r="H22" s="67">
        <f t="shared" si="5"/>
        <v>1.8915093516304045</v>
      </c>
      <c r="I22" s="67">
        <f t="shared" si="6"/>
        <v>1.25145074904751</v>
      </c>
      <c r="J22" s="67">
        <f t="shared" si="7"/>
        <v>1.3609252253181952</v>
      </c>
      <c r="K22" s="67"/>
      <c r="L22" s="40">
        <f t="shared" si="0"/>
        <v>250000000</v>
      </c>
      <c r="M22" s="28">
        <f>(E22-D22)/100*AVERAGE(G22:H22)</f>
        <v>4494614.4653071864</v>
      </c>
      <c r="N22" s="28"/>
      <c r="O22" s="28">
        <f t="shared" si="10"/>
        <v>17006786.104539569</v>
      </c>
      <c r="P22" s="67">
        <f>100*O22/E22</f>
        <v>1.3605428883631654</v>
      </c>
    </row>
    <row r="23" spans="1:16" x14ac:dyDescent="0.25">
      <c r="D23" s="40">
        <f t="shared" si="1"/>
        <v>1250000000</v>
      </c>
      <c r="E23" s="40">
        <v>1500000000</v>
      </c>
      <c r="F23" s="40"/>
      <c r="G23" s="67">
        <f t="shared" si="4"/>
        <v>1.8915093516304045</v>
      </c>
      <c r="H23" s="67">
        <f t="shared" si="5"/>
        <v>2.0687346032721847</v>
      </c>
      <c r="I23" s="67">
        <f t="shared" si="6"/>
        <v>1.3609252253181952</v>
      </c>
      <c r="J23" s="67">
        <f t="shared" si="7"/>
        <v>1.4642451727343246</v>
      </c>
      <c r="K23" s="67"/>
      <c r="L23" s="40">
        <f t="shared" si="0"/>
        <v>250000000</v>
      </c>
      <c r="M23" s="28">
        <f>(E23-D23)/100*AVERAGE(G23:H23)</f>
        <v>4950304.9436282367</v>
      </c>
      <c r="N23" s="28"/>
      <c r="O23" s="28">
        <f t="shared" si="10"/>
        <v>21957091.048167806</v>
      </c>
      <c r="P23" s="67">
        <f>100*O23/E23</f>
        <v>1.4638060698778537</v>
      </c>
    </row>
    <row r="24" spans="1:16" x14ac:dyDescent="0.25">
      <c r="D24" s="40">
        <f t="shared" si="1"/>
        <v>1500000000</v>
      </c>
      <c r="E24" s="40">
        <v>1750000000</v>
      </c>
      <c r="F24" s="40"/>
      <c r="G24" s="67">
        <f t="shared" si="4"/>
        <v>2.0687346032721847</v>
      </c>
      <c r="H24" s="67">
        <f t="shared" si="5"/>
        <v>2.2383088194265652</v>
      </c>
      <c r="I24" s="67">
        <f t="shared" si="6"/>
        <v>1.4642451727343246</v>
      </c>
      <c r="J24" s="67">
        <f t="shared" si="7"/>
        <v>1.5627934066419069</v>
      </c>
      <c r="K24" s="67"/>
      <c r="L24" s="40">
        <f t="shared" si="0"/>
        <v>250000000</v>
      </c>
      <c r="M24" s="28">
        <f>(E24-D24)/100*AVERAGE(G24:H24)</f>
        <v>5383804.278373437</v>
      </c>
      <c r="N24" s="28"/>
      <c r="O24" s="28">
        <f t="shared" si="10"/>
        <v>27340895.326541245</v>
      </c>
      <c r="P24" s="67">
        <f>100*O24/E24</f>
        <v>1.5623368758023568</v>
      </c>
    </row>
    <row r="25" spans="1:16" x14ac:dyDescent="0.25">
      <c r="D25" s="40">
        <f t="shared" si="1"/>
        <v>1750000000</v>
      </c>
      <c r="E25" s="40">
        <v>2000000000</v>
      </c>
      <c r="F25" s="40"/>
      <c r="G25" s="67">
        <f t="shared" si="4"/>
        <v>2.2383088194265652</v>
      </c>
      <c r="H25" s="67">
        <f t="shared" si="5"/>
        <v>2.401843009235372</v>
      </c>
      <c r="I25" s="67">
        <f t="shared" si="6"/>
        <v>1.5627934066419069</v>
      </c>
      <c r="J25" s="67">
        <f t="shared" si="7"/>
        <v>1.6575100661699722</v>
      </c>
      <c r="K25" s="67"/>
      <c r="L25" s="40">
        <f t="shared" si="0"/>
        <v>250000000</v>
      </c>
      <c r="M25" s="28">
        <f>(E25-D25)/100*AVERAGE(G25:H25)</f>
        <v>5800189.7858274207</v>
      </c>
      <c r="N25" s="28"/>
      <c r="O25" s="28">
        <f t="shared" si="10"/>
        <v>33141085.112368666</v>
      </c>
      <c r="P25" s="67">
        <f>100*O25/E25</f>
        <v>1.6570542556184333</v>
      </c>
    </row>
    <row r="26" spans="1:16" x14ac:dyDescent="0.25">
      <c r="D26" s="40">
        <f t="shared" si="1"/>
        <v>2000000000</v>
      </c>
      <c r="E26" s="40">
        <v>2500000000</v>
      </c>
      <c r="F26" s="40"/>
      <c r="G26" s="67">
        <f t="shared" si="4"/>
        <v>2.401843009235372</v>
      </c>
      <c r="H26" s="67">
        <f t="shared" si="5"/>
        <v>2.7149889922725565</v>
      </c>
      <c r="I26" s="67">
        <f t="shared" si="6"/>
        <v>1.6575100661699722</v>
      </c>
      <c r="J26" s="67">
        <f t="shared" si="7"/>
        <v>1.8379643190457076</v>
      </c>
      <c r="K26" s="67"/>
      <c r="L26" s="40">
        <f t="shared" si="0"/>
        <v>500000000</v>
      </c>
      <c r="M26" s="28">
        <f>(E26-D26)/100*AVERAGE(G26:H26)</f>
        <v>12792080.003769821</v>
      </c>
      <c r="N26" s="28"/>
      <c r="O26" s="28">
        <f t="shared" si="10"/>
        <v>45933165.116138488</v>
      </c>
      <c r="P26" s="67">
        <f>100*O26/E26</f>
        <v>1.8373266046455394</v>
      </c>
    </row>
    <row r="27" spans="1:16" x14ac:dyDescent="0.25">
      <c r="D27" s="40">
        <f t="shared" si="1"/>
        <v>2500000000</v>
      </c>
      <c r="E27" s="40">
        <v>3000000000</v>
      </c>
      <c r="F27" s="40"/>
      <c r="G27" s="67">
        <f t="shared" si="4"/>
        <v>2.7149889922725565</v>
      </c>
      <c r="H27" s="67">
        <f t="shared" si="5"/>
        <v>3.0141137126448525</v>
      </c>
      <c r="I27" s="67">
        <f t="shared" si="6"/>
        <v>1.8379643190457076</v>
      </c>
      <c r="J27" s="67">
        <f t="shared" si="7"/>
        <v>2.009228191773051</v>
      </c>
      <c r="K27" s="67"/>
      <c r="L27" s="40">
        <f t="shared" si="0"/>
        <v>500000000</v>
      </c>
      <c r="M27" s="28">
        <f>(E27-D27)/100*AVERAGE(G27:H27)</f>
        <v>14322756.762293523</v>
      </c>
      <c r="N27" s="28"/>
      <c r="O27" s="28">
        <f t="shared" si="10"/>
        <v>60255921.878432013</v>
      </c>
      <c r="P27" s="67">
        <f>100*O27/E27</f>
        <v>2.008530729281067</v>
      </c>
    </row>
    <row r="28" spans="1:16" x14ac:dyDescent="0.25">
      <c r="D28" s="40">
        <f t="shared" si="1"/>
        <v>3000000000</v>
      </c>
      <c r="E28" s="40">
        <v>3500000000</v>
      </c>
      <c r="F28" s="40"/>
      <c r="G28" s="67">
        <f t="shared" si="4"/>
        <v>3.0141137126448525</v>
      </c>
      <c r="H28" s="67">
        <f t="shared" si="5"/>
        <v>3.3027574216716986</v>
      </c>
      <c r="I28" s="67">
        <f t="shared" si="6"/>
        <v>2.009228191773051</v>
      </c>
      <c r="J28" s="67">
        <f t="shared" si="7"/>
        <v>2.1735097613881549</v>
      </c>
      <c r="K28" s="67"/>
      <c r="L28" s="40">
        <f t="shared" si="0"/>
        <v>500000000</v>
      </c>
      <c r="M28" s="28">
        <f>(E28-D28)/100*AVERAGE(G28:H28)</f>
        <v>15792177.835791379</v>
      </c>
      <c r="N28" s="28"/>
      <c r="O28" s="28">
        <f t="shared" si="10"/>
        <v>76048099.714223385</v>
      </c>
      <c r="P28" s="67">
        <f>100*O28/E28</f>
        <v>2.1728028489778111</v>
      </c>
    </row>
    <row r="29" spans="1:16" x14ac:dyDescent="0.25">
      <c r="D29" s="40">
        <f t="shared" si="1"/>
        <v>3500000000</v>
      </c>
      <c r="E29" s="40">
        <v>4000000000</v>
      </c>
      <c r="F29" s="40"/>
      <c r="G29" s="67">
        <f t="shared" si="4"/>
        <v>3.3027574216716986</v>
      </c>
      <c r="H29" s="67">
        <f t="shared" si="5"/>
        <v>3.583227582537067</v>
      </c>
      <c r="I29" s="67">
        <f t="shared" si="6"/>
        <v>2.1735097613881549</v>
      </c>
      <c r="J29" s="67">
        <f t="shared" si="7"/>
        <v>2.3322708784104882</v>
      </c>
      <c r="K29" s="67"/>
      <c r="L29" s="40">
        <f t="shared" si="0"/>
        <v>500000000</v>
      </c>
      <c r="M29" s="28">
        <f>(E29-D29)/100*AVERAGE(G29:H29)</f>
        <v>17214962.510521915</v>
      </c>
      <c r="N29" s="28"/>
      <c r="O29" s="28">
        <f t="shared" si="10"/>
        <v>93263062.224745303</v>
      </c>
      <c r="P29" s="67">
        <f>100*O29/E29</f>
        <v>2.331576555618633</v>
      </c>
    </row>
    <row r="30" spans="1:16" x14ac:dyDescent="0.25">
      <c r="D30" s="40">
        <f t="shared" si="1"/>
        <v>4000000000</v>
      </c>
      <c r="E30" s="40">
        <v>4500000000</v>
      </c>
      <c r="F30" s="40"/>
      <c r="G30" s="67">
        <f t="shared" si="4"/>
        <v>3.583227582537067</v>
      </c>
      <c r="H30" s="67">
        <f t="shared" si="5"/>
        <v>3.8571250357208533</v>
      </c>
      <c r="I30" s="67">
        <f t="shared" si="6"/>
        <v>2.3322708784104882</v>
      </c>
      <c r="J30" s="67">
        <f t="shared" si="7"/>
        <v>2.4865374792857793</v>
      </c>
      <c r="K30" s="67"/>
      <c r="L30" s="40">
        <f t="shared" si="0"/>
        <v>500000000</v>
      </c>
      <c r="M30" s="28">
        <f>(E30-D30)/100*AVERAGE(G30:H30)</f>
        <v>18600881.545644801</v>
      </c>
      <c r="N30" s="28"/>
      <c r="O30" s="28">
        <f t="shared" si="10"/>
        <v>111863943.77039011</v>
      </c>
      <c r="P30" s="67">
        <f>100*O30/E30</f>
        <v>2.48586541711978</v>
      </c>
    </row>
    <row r="31" spans="1:16" x14ac:dyDescent="0.25">
      <c r="D31" s="40">
        <f t="shared" si="1"/>
        <v>4500000000</v>
      </c>
      <c r="E31" s="40">
        <v>5000000000</v>
      </c>
      <c r="F31" s="40"/>
      <c r="G31" s="67">
        <f t="shared" si="4"/>
        <v>3.8571250357208533</v>
      </c>
      <c r="H31" s="67"/>
      <c r="I31" s="67">
        <f t="shared" si="6"/>
        <v>2.4865374792857793</v>
      </c>
      <c r="J31" s="67"/>
      <c r="K31" s="67"/>
      <c r="L31" s="40">
        <f t="shared" si="0"/>
        <v>500000000</v>
      </c>
      <c r="M31" s="28"/>
      <c r="N31" s="28"/>
      <c r="O31" s="28"/>
      <c r="P31" s="67"/>
    </row>
    <row r="32" spans="1:16" x14ac:dyDescent="0.25">
      <c r="E32" s="40"/>
      <c r="F32" s="40"/>
    </row>
    <row r="33" spans="5:6" x14ac:dyDescent="0.25">
      <c r="E33" s="40"/>
      <c r="F33" s="40"/>
    </row>
    <row r="34" spans="5:6" x14ac:dyDescent="0.25">
      <c r="E34" s="40"/>
      <c r="F34" s="40"/>
    </row>
    <row r="35" spans="5:6" x14ac:dyDescent="0.25">
      <c r="E35" s="40"/>
      <c r="F35" s="40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F3CA-D8AA-4B1D-A94A-073472438B01}">
  <dimension ref="A3:L43"/>
  <sheetViews>
    <sheetView workbookViewId="0">
      <selection activeCell="A3" sqref="A3:A9"/>
    </sheetView>
  </sheetViews>
  <sheetFormatPr baseColWidth="10" defaultRowHeight="15" x14ac:dyDescent="0.25"/>
  <cols>
    <col min="1" max="1" width="33.140625" customWidth="1"/>
    <col min="3" max="3" width="16" customWidth="1"/>
    <col min="5" max="5" width="12.85546875" customWidth="1"/>
    <col min="6" max="6" width="13.85546875" customWidth="1"/>
    <col min="7" max="7" width="14.5703125" customWidth="1"/>
    <col min="8" max="8" width="13.85546875" customWidth="1"/>
    <col min="9" max="9" width="13.7109375" customWidth="1"/>
    <col min="10" max="10" width="15" customWidth="1"/>
    <col min="11" max="11" width="14.42578125" customWidth="1"/>
  </cols>
  <sheetData>
    <row r="3" spans="1:11" x14ac:dyDescent="0.25">
      <c r="A3" s="45" t="s">
        <v>83</v>
      </c>
      <c r="G3" s="72"/>
      <c r="H3" s="72"/>
      <c r="I3" s="72"/>
      <c r="J3" s="72"/>
      <c r="K3" s="72"/>
    </row>
    <row r="4" spans="1:11" x14ac:dyDescent="0.25">
      <c r="A4" s="45" t="s">
        <v>84</v>
      </c>
      <c r="E4" s="53">
        <v>0.68525596215296614</v>
      </c>
      <c r="F4" s="53">
        <v>0.70956275093858678</v>
      </c>
      <c r="G4" s="53">
        <v>0.79539726364250973</v>
      </c>
      <c r="H4" s="53">
        <v>1</v>
      </c>
      <c r="I4" s="53">
        <v>1.3250275334760435</v>
      </c>
      <c r="J4" s="53">
        <v>1.9899541188070506</v>
      </c>
      <c r="K4" s="53">
        <v>2.4905558433129547</v>
      </c>
    </row>
    <row r="5" spans="1:11" x14ac:dyDescent="0.25">
      <c r="A5" s="45" t="s">
        <v>85</v>
      </c>
      <c r="E5" s="40">
        <v>14085484.192398541</v>
      </c>
      <c r="F5" s="40">
        <v>20128687.787501641</v>
      </c>
      <c r="G5" s="40">
        <v>40799556.661242433</v>
      </c>
      <c r="H5" s="40">
        <v>155684118.04759464</v>
      </c>
      <c r="I5" s="40">
        <v>591722608.53826213</v>
      </c>
      <c r="J5" s="40">
        <v>1638635827.0496693</v>
      </c>
      <c r="K5" s="40">
        <v>1309270025.8126857</v>
      </c>
    </row>
    <row r="6" spans="1:11" x14ac:dyDescent="0.25">
      <c r="A6" s="45"/>
      <c r="H6" s="47"/>
    </row>
    <row r="7" spans="1:11" x14ac:dyDescent="0.25">
      <c r="A7" s="45" t="s">
        <v>86</v>
      </c>
      <c r="F7" s="40">
        <v>6043203.5951030999</v>
      </c>
      <c r="G7" s="40">
        <v>20670868.873740792</v>
      </c>
      <c r="H7" s="40">
        <v>114884561.38635221</v>
      </c>
      <c r="I7" s="40">
        <v>436038490.49066746</v>
      </c>
      <c r="J7" s="40">
        <v>1046913218.5114071</v>
      </c>
      <c r="K7" s="40">
        <v>-329365801.23698354</v>
      </c>
    </row>
    <row r="8" spans="1:11" x14ac:dyDescent="0.25">
      <c r="A8" s="45" t="s">
        <v>87</v>
      </c>
      <c r="F8" s="28">
        <v>41411.412940486392</v>
      </c>
      <c r="G8" s="28">
        <v>146672.78582342324</v>
      </c>
      <c r="H8" s="28">
        <v>913788.65761474473</v>
      </c>
      <c r="I8" s="28">
        <v>4360384.9049066743</v>
      </c>
      <c r="J8" s="28">
        <v>13871888.396876361</v>
      </c>
      <c r="K8" s="28">
        <v>-6554228.3276571967</v>
      </c>
    </row>
    <row r="9" spans="1:11" x14ac:dyDescent="0.25">
      <c r="A9" s="45" t="s">
        <v>88</v>
      </c>
      <c r="F9" s="53">
        <v>0.68525596215296614</v>
      </c>
      <c r="G9" s="53">
        <v>0.70956275093858678</v>
      </c>
      <c r="H9" s="53">
        <v>0.79539726364250962</v>
      </c>
      <c r="I9" s="53">
        <v>0.99999999999999989</v>
      </c>
      <c r="J9" s="53">
        <v>1.3250275334760437</v>
      </c>
      <c r="K9" s="53">
        <v>1.9899541188070502</v>
      </c>
    </row>
    <row r="16" spans="1:11" x14ac:dyDescent="0.25">
      <c r="C16" s="40">
        <f>C24</f>
        <v>20670868.873740792</v>
      </c>
      <c r="D16" s="53">
        <f>D24</f>
        <v>0.70956275093858678</v>
      </c>
      <c r="E16" s="57">
        <v>1.0329999999999999</v>
      </c>
      <c r="F16" s="47"/>
      <c r="G16" s="55"/>
      <c r="H16" s="54"/>
      <c r="I16" s="56"/>
    </row>
    <row r="17" spans="2:12" x14ac:dyDescent="0.25">
      <c r="G17" s="55"/>
    </row>
    <row r="19" spans="2:12" x14ac:dyDescent="0.25">
      <c r="C19" s="40">
        <v>1000000</v>
      </c>
      <c r="E19" s="58">
        <f>$D$16 * ($E$16^(LN(2*$C19/$C$16)*LN($C19/$C$16)))</f>
        <v>0.89275854840869839</v>
      </c>
      <c r="F19" s="58">
        <f>$E19 * (LN($E$16) * (2 * LN($C19/$C$16) + LN(2)) + 1)</f>
        <v>0.73727226811765301</v>
      </c>
    </row>
    <row r="24" spans="2:12" x14ac:dyDescent="0.25">
      <c r="B24" s="28">
        <f>C24*D24/100</f>
        <v>146672.78582342324</v>
      </c>
      <c r="C24" s="40">
        <v>20670868.873740792</v>
      </c>
      <c r="D24" s="53">
        <v>0.70956275093858678</v>
      </c>
      <c r="E24" s="58">
        <f>$D$16 * ($E$16^(LN(2*$C24/$C$16)*LN($C24/$C$16)))</f>
        <v>0.70956275093858678</v>
      </c>
      <c r="F24" s="58">
        <f>$E24 * (LN($E$16) * (2 * LN($C24/$C$16) + LN(2)) + 1)</f>
        <v>0.72553113517522794</v>
      </c>
      <c r="G24" s="55"/>
    </row>
    <row r="25" spans="2:12" x14ac:dyDescent="0.25">
      <c r="B25" s="28">
        <f>C25*D25/100</f>
        <v>322886.59758110263</v>
      </c>
      <c r="C25" s="40">
        <f>(C24+C26)/2</f>
        <v>44224292.001893647</v>
      </c>
      <c r="D25" s="53">
        <f>D24*((D26/D24)^0.5)</f>
        <v>0.73011140023966214</v>
      </c>
      <c r="E25" s="58">
        <f>$D$16 * ($E$16^(LN(2*$C25/$C$16)*LN($C25/$C$16)))</f>
        <v>0.73549583869800472</v>
      </c>
      <c r="F25" s="58">
        <f>$E25 * (LN($E$16) * (2 * LN($C25/$C$16) + LN(2)) + 1)</f>
        <v>0.78837086090514141</v>
      </c>
      <c r="H25" s="53"/>
      <c r="K25" s="58">
        <f>$E25 * (LN($E$16) * (LN(2*$C25/$C$16) + LN($C25/$C$16)) + 1)</f>
        <v>0.78837086090514141</v>
      </c>
      <c r="L25" s="54">
        <f>ABS(E25-D25)</f>
        <v>5.3844384583425775E-3</v>
      </c>
    </row>
    <row r="26" spans="2:12" x14ac:dyDescent="0.25">
      <c r="B26" s="28">
        <f>C26*D26/100</f>
        <v>509183.56196894968</v>
      </c>
      <c r="C26" s="40">
        <v>67777715.130046502</v>
      </c>
      <c r="D26" s="53">
        <v>0.75125513008511524</v>
      </c>
      <c r="E26" s="58">
        <f>$D$16 * ($E$16^(LN(2*$C26/$C$16)*LN($C26/$C$16)))</f>
        <v>0.76292344503290466</v>
      </c>
      <c r="F26" s="58">
        <f>$E26 * (LN($E$16) * (2 * LN($C26/$C$16) + LN(2)) + 1)</f>
        <v>0.83892178967921305</v>
      </c>
      <c r="H26" s="53"/>
      <c r="K26" s="58">
        <f>$E26 * (LN($E$16) * (LN(2*$C26/$C$16) + LN($C26/$C$16)) + 1)</f>
        <v>0.83892178967921305</v>
      </c>
      <c r="L26" s="54">
        <f>ABS(E26-D26)</f>
        <v>1.1668314947789415E-2</v>
      </c>
    </row>
    <row r="27" spans="2:12" x14ac:dyDescent="0.25">
      <c r="B27" s="28">
        <f>C27*D27/100</f>
        <v>705999.90386356076</v>
      </c>
      <c r="C27" s="40">
        <f>(C26+C28)/2</f>
        <v>91331138.258199364</v>
      </c>
      <c r="D27" s="53">
        <f>D26*((D28/D26)^0.5)</f>
        <v>0.77301117376600603</v>
      </c>
      <c r="E27" s="58">
        <f>$D$16 * ($E$16^(LN(2*$C27/$C$16)*LN($C27/$C$16)))</f>
        <v>0.78820389429501714</v>
      </c>
      <c r="F27" s="58">
        <f>$E27 * (LN($E$16) * (2 * LN($C27/$C$16) + LN(2)) + 1)</f>
        <v>0.88198585979840149</v>
      </c>
      <c r="H27" s="53"/>
      <c r="K27" s="58">
        <f>$E27 * (LN($E$16) * (LN(2*$C27/$C$16) + LN($C27/$C$16)) + 1)</f>
        <v>0.88198585979840149</v>
      </c>
      <c r="L27" s="54">
        <f>ABS(E27-D27)</f>
        <v>1.5192720529011106E-2</v>
      </c>
    </row>
    <row r="28" spans="2:12" x14ac:dyDescent="0.25">
      <c r="B28" s="28">
        <f>C28*D28/100</f>
        <v>913788.65761474473</v>
      </c>
      <c r="C28" s="40">
        <v>114884561.38635221</v>
      </c>
      <c r="D28" s="53">
        <v>0.79539726364250962</v>
      </c>
      <c r="E28" s="58">
        <f>$D$16 * ($E$16^(LN(2*$C28/$C$16)*LN($C28/$C$16)))</f>
        <v>0.8114028250688764</v>
      </c>
      <c r="F28" s="58">
        <f>$E28 * (LN($E$16) * (2 * LN($C28/$C$16) + LN(2)) + 1)</f>
        <v>0.92003355401014775</v>
      </c>
      <c r="H28" s="53"/>
      <c r="K28" s="58">
        <f>$E28 * (LN($E$16) * (LN(2*$C28/$C$16) + LN($C28/$C$16)) + 1)</f>
        <v>0.92003355401014775</v>
      </c>
      <c r="L28" s="54">
        <f>ABS(E28-D28)</f>
        <v>1.6005561426366777E-2</v>
      </c>
    </row>
    <row r="29" spans="2:12" x14ac:dyDescent="0.25">
      <c r="B29" s="28">
        <f>C29*D29/100</f>
        <v>1268888.5353476962</v>
      </c>
      <c r="C29" s="40">
        <v>155028802.52439159</v>
      </c>
      <c r="D29" s="53">
        <v>0.81848567149195028</v>
      </c>
      <c r="E29" s="58">
        <f>$D$16 * ($E$16^(LN(2*$C29/$C$16)*LN($C29/$C$16)))</f>
        <v>0.84708591899579522</v>
      </c>
      <c r="F29" s="58">
        <f>$E29 * (LN($E$16) * (2 * LN($C29/$C$16) + LN(2)) + 1)</f>
        <v>0.9769779751179074</v>
      </c>
      <c r="H29" s="53"/>
      <c r="K29" s="58">
        <f>$E29 * (LN($E$16) * (LN(2*$C29/$C$16) + LN($C29/$C$16)) + 1)</f>
        <v>0.9769779751179074</v>
      </c>
      <c r="L29" s="54">
        <f>ABS(E29-D29)</f>
        <v>2.8600247503844933E-2</v>
      </c>
    </row>
    <row r="30" spans="2:12" x14ac:dyDescent="0.25">
      <c r="B30" s="28">
        <f>C30*D30/100</f>
        <v>1453827.9394605586</v>
      </c>
      <c r="C30" s="40">
        <v>175100923.0934113</v>
      </c>
      <c r="D30" s="53">
        <v>0.83027999725905688</v>
      </c>
      <c r="E30" s="58">
        <f>$D$16 * ($E$16^(LN(2*$C30/$C$16)*LN($C30/$C$16)))</f>
        <v>0.86346449472005182</v>
      </c>
      <c r="F30" s="58">
        <f>$E30 * (LN($E$16) * (2 * LN($C30/$C$16) + LN(2)) + 1)</f>
        <v>1.0026944725641884</v>
      </c>
      <c r="H30" s="53"/>
      <c r="K30" s="58">
        <f>$E30 * (LN($E$16) * (LN(2*$C30/$C$16) + LN($C30/$C$16)) + 1)</f>
        <v>1.0026944725641884</v>
      </c>
      <c r="L30" s="54">
        <f>ABS(E30-D30)</f>
        <v>3.3184497460994944E-2</v>
      </c>
    </row>
    <row r="31" spans="2:12" x14ac:dyDescent="0.25">
      <c r="B31" s="28">
        <f>C31*D31/100</f>
        <v>1548190.8820369381</v>
      </c>
      <c r="C31" s="40">
        <f>(C30+C32)/2</f>
        <v>185136983.37792116</v>
      </c>
      <c r="D31" s="53">
        <f>D30*((D32/D30)^0.5)</f>
        <v>0.83624074120112857</v>
      </c>
      <c r="E31" s="58">
        <f>$D$16 * ($E$16^(LN(2*$C31/$C$16)*LN($C31/$C$16)))</f>
        <v>0.87134711098192918</v>
      </c>
      <c r="F31" s="58">
        <f>$E31 * (LN($E$16) * (2 * LN($C31/$C$16) + LN(2)) + 1)</f>
        <v>1.0150015495183058</v>
      </c>
      <c r="H31" s="53"/>
      <c r="K31" s="58">
        <f>$E31 * (LN($E$16) * (LN(2*$C31/$C$16) + LN($C31/$C$16)) + 1)</f>
        <v>1.0150015495183058</v>
      </c>
      <c r="L31" s="54">
        <f>ABS(E31-D31)</f>
        <v>3.5106369780800617E-2</v>
      </c>
    </row>
    <row r="32" spans="2:12" x14ac:dyDescent="0.25">
      <c r="B32" s="28">
        <f>C32*D32/100</f>
        <v>1643833.7934215465</v>
      </c>
      <c r="C32" s="40">
        <v>195173043.662431</v>
      </c>
      <c r="D32" s="53">
        <v>0.84224427850021233</v>
      </c>
      <c r="E32" s="58">
        <f>$D$16 * ($E$16^(LN(2*$C32/$C$16)*LN($C32/$C$16)))</f>
        <v>0.87904334044840671</v>
      </c>
      <c r="F32" s="58">
        <f>$E32 * (LN($E$16) * (2 * LN($C32/$C$16) + LN(2)) + 1)</f>
        <v>1.0269799087123972</v>
      </c>
      <c r="H32" s="53"/>
      <c r="K32" s="58">
        <f>$E32 * (LN($E$16) * (LN(2*$C32/$C$16) + LN($C32/$C$16)) + 1)</f>
        <v>1.0269799087123972</v>
      </c>
      <c r="L32" s="54">
        <f>ABS(E32-D32)</f>
        <v>3.6799061948194378E-2</v>
      </c>
    </row>
    <row r="33" spans="2:12" x14ac:dyDescent="0.25">
      <c r="B33" s="28">
        <f>C33*D33/100</f>
        <v>2456704.9180809627</v>
      </c>
      <c r="C33" s="40">
        <v>275461525.93850982</v>
      </c>
      <c r="D33" s="53">
        <v>0.89185047157161357</v>
      </c>
      <c r="E33" s="58">
        <f>$D$16 * ($E$16^(LN(2*$C33/$C$16)*LN($C33/$C$16)))</f>
        <v>0.93512102129201347</v>
      </c>
      <c r="F33" s="58">
        <f>$E33 * (LN($E$16) * (2 * LN($C33/$C$16) + LN(2)) + 1)</f>
        <v>1.1134173396507354</v>
      </c>
      <c r="H33" s="53"/>
      <c r="K33" s="58">
        <f>$E33 * (LN($E$16) * (LN(2*$C33/$C$16) + LN($C33/$C$16)) + 1)</f>
        <v>1.1134173396507354</v>
      </c>
      <c r="L33" s="54">
        <f>ABS(E33-D33)</f>
        <v>4.3270549720399898E-2</v>
      </c>
    </row>
    <row r="34" spans="2:12" x14ac:dyDescent="0.25">
      <c r="B34" s="28">
        <f>C34*D34/100</f>
        <v>3359626.0645255633</v>
      </c>
      <c r="C34" s="40">
        <v>355750008.21458864</v>
      </c>
      <c r="D34" s="53">
        <v>0.94437835191813535</v>
      </c>
      <c r="E34" s="58">
        <f>$D$16 * ($E$16^(LN(2*$C34/$C$16)*LN($C34/$C$16)))</f>
        <v>0.98394384357182452</v>
      </c>
      <c r="F34" s="58">
        <f>$E34 * (LN($E$16) * (2 * LN($C34/$C$16) + LN(2)) + 1)</f>
        <v>1.1878913011847565</v>
      </c>
      <c r="H34" s="53"/>
      <c r="K34" s="58">
        <f>$E34 * (LN($E$16) * (LN(2*$C34/$C$16) + LN($C34/$C$16)) + 1)</f>
        <v>1.1878913011847565</v>
      </c>
      <c r="L34" s="54">
        <f>ABS(E34-D34)</f>
        <v>3.9565491653689167E-2</v>
      </c>
    </row>
    <row r="35" spans="2:12" x14ac:dyDescent="0.25">
      <c r="B35" s="28">
        <f>C35*D35/100</f>
        <v>3600326.3216940532</v>
      </c>
      <c r="C35" s="40">
        <f>(C34+C36)/2</f>
        <v>375822128.78360832</v>
      </c>
      <c r="D35" s="53">
        <f>D34*((D36/D34)^0.5)</f>
        <v>0.95798678309521712</v>
      </c>
      <c r="E35" s="58">
        <f>$D$16 * ($E$16^(LN(2*$C35/$C$16)*LN($C35/$C$16)))</f>
        <v>0.99529932023520817</v>
      </c>
      <c r="F35" s="58">
        <f>$E35 * (LN($E$16) * (2 * LN($C35/$C$16) + LN(2)) + 1)</f>
        <v>1.2051478357354826</v>
      </c>
      <c r="H35" s="53"/>
      <c r="K35" s="58">
        <f>$E35 * (LN($E$16) * (LN(2*$C35/$C$16) + LN($C35/$C$16)) + 1)</f>
        <v>1.2051478357354826</v>
      </c>
      <c r="L35" s="54">
        <f>ABS(E35-D35)</f>
        <v>3.7312537139991053E-2</v>
      </c>
    </row>
    <row r="36" spans="2:12" x14ac:dyDescent="0.25">
      <c r="B36" s="28">
        <f>C36*D36/100</f>
        <v>3847265.9155155737</v>
      </c>
      <c r="C36" s="40">
        <v>395894249.35262805</v>
      </c>
      <c r="D36" s="53">
        <v>0.97179131088836934</v>
      </c>
      <c r="E36" s="58">
        <f>$D$16 * ($E$16^(LN(2*$C36/$C$16)*LN($C36/$C$16)))</f>
        <v>1.0063665436126572</v>
      </c>
      <c r="F36" s="58">
        <f>$E36 * (LN($E$16) * (2 * LN($C36/$C$16) + LN(2)) + 1)</f>
        <v>1.2219485892432931</v>
      </c>
      <c r="H36" s="53"/>
      <c r="K36" s="58">
        <f>$E36 * (LN($E$16) * (LN(2*$C36/$C$16) + LN($C36/$C$16)) + 1)</f>
        <v>1.2219485892432931</v>
      </c>
      <c r="L36" s="54">
        <f>ABS(E36-D36)</f>
        <v>3.4575232724287863E-2</v>
      </c>
    </row>
    <row r="37" spans="2:12" x14ac:dyDescent="0.25">
      <c r="B37" s="28">
        <f>C37*D37/100</f>
        <v>4360384.9049066743</v>
      </c>
      <c r="C37" s="40">
        <v>436038490.49066746</v>
      </c>
      <c r="D37" s="53">
        <v>0.99999999999999989</v>
      </c>
      <c r="E37" s="58">
        <f>$D$16 * ($E$16^(LN(2*$C37/$C$16)*LN($C37/$C$16)))</f>
        <v>1.0277162937034079</v>
      </c>
      <c r="F37" s="58">
        <f>$E37 * (LN($E$16) * (2 * LN($C37/$C$16) + LN(2)) + 1)</f>
        <v>1.2543172524363009</v>
      </c>
      <c r="H37" s="53"/>
      <c r="K37" s="58">
        <f>$E37 * (LN($E$16) * (LN(2*$C37/$C$16) + LN($C37/$C$16)) + 1)</f>
        <v>1.2543172524363009</v>
      </c>
      <c r="L37" s="54">
        <f>ABS(E37-D37)</f>
        <v>2.7716293703408001E-2</v>
      </c>
    </row>
    <row r="38" spans="2:12" x14ac:dyDescent="0.25">
      <c r="C38" s="40">
        <v>588757172.49585247</v>
      </c>
      <c r="D38" s="53">
        <v>1.0728925403029621</v>
      </c>
      <c r="E38" s="58">
        <f>$D$16 * ($E$16^(LN(2*$C38/$C$16)*LN($C38/$C$16)))</f>
        <v>1.1012832873697151</v>
      </c>
      <c r="F38" s="58">
        <f>$E38 * (LN($E$16) * (2 * LN($C38/$C$16) + LN(2)) + 1)</f>
        <v>1.3655786217003747</v>
      </c>
      <c r="H38" s="53"/>
      <c r="K38" s="58">
        <f>$E38 * (LN($E$16) * (LN(2*$C38/$C$16) + LN($C38/$C$16)) + 1)</f>
        <v>1.3655786217003747</v>
      </c>
      <c r="L38" s="54">
        <f>ABS(E38-D38)</f>
        <v>2.8390747066753041E-2</v>
      </c>
    </row>
    <row r="39" spans="2:12" x14ac:dyDescent="0.25">
      <c r="C39" s="40">
        <v>741475854.50103736</v>
      </c>
      <c r="D39" s="53">
        <v>1.1510984030377436</v>
      </c>
      <c r="E39" s="58">
        <f>$D$16 * ($E$16^(LN(2*$C39/$C$16)*LN($C39/$C$16)))</f>
        <v>1.1659675965234526</v>
      </c>
      <c r="F39" s="58">
        <f>$E39 * (LN($E$16) * (2 * LN($C39/$C$16) + LN(2)) + 1)</f>
        <v>1.4632476449937888</v>
      </c>
      <c r="H39" s="53"/>
      <c r="K39" s="58">
        <f>$E39 * (LN($E$16) * (LN(2*$C39/$C$16) + LN($C39/$C$16)) + 1)</f>
        <v>1.4632476449937886</v>
      </c>
      <c r="L39" s="54">
        <f>ABS(E39-D39)</f>
        <v>1.4869193485709031E-2</v>
      </c>
    </row>
    <row r="40" spans="2:12" x14ac:dyDescent="0.25">
      <c r="C40" s="40">
        <v>817835195.5036298</v>
      </c>
      <c r="D40" s="53">
        <v>1.192313782677396</v>
      </c>
      <c r="E40" s="58">
        <f>$D$16 * ($E$16^(LN(2*$C40/$C$16)*LN($C40/$C$16)))</f>
        <v>1.1958465879442721</v>
      </c>
      <c r="F40" s="58">
        <f>$E40 * (LN($E$16) * (2 * LN($C40/$C$16) + LN(2)) + 1)</f>
        <v>1.5083559803279876</v>
      </c>
      <c r="H40" s="53"/>
      <c r="K40" s="58">
        <f>$E40 * (LN($E$16) * (LN(2*$C40/$C$16) + LN($C40/$C$16)) + 1)</f>
        <v>1.5083559803279876</v>
      </c>
      <c r="L40" s="54">
        <f>ABS(E40-D40)</f>
        <v>3.53280526687616E-3</v>
      </c>
    </row>
    <row r="41" spans="2:12" x14ac:dyDescent="0.25">
      <c r="C41" s="40">
        <v>894194536.50622225</v>
      </c>
      <c r="D41" s="53">
        <v>1.2350048897738479</v>
      </c>
      <c r="E41" s="58">
        <f>$D$16 * ($E$16^(LN(2*$C41/$C$16)*LN($C41/$C$16)))</f>
        <v>1.2243865593973196</v>
      </c>
      <c r="F41" s="58">
        <f>$E41 * (LN($E$16) * (2 * LN($C41/$C$16) + LN(2)) + 1)</f>
        <v>1.5514510704086422</v>
      </c>
      <c r="H41" s="53"/>
      <c r="K41" s="58">
        <f>$E41 * (LN($E$16) * (LN(2*$C41/$C$16) + LN($C41/$C$16)) + 1)</f>
        <v>1.5514510704086422</v>
      </c>
      <c r="L41" s="54">
        <f>ABS(E41-D41)</f>
        <v>1.0618330376528373E-2</v>
      </c>
    </row>
    <row r="42" spans="2:12" x14ac:dyDescent="0.25">
      <c r="C42" s="40">
        <v>1046913218.5114071</v>
      </c>
      <c r="D42" s="53">
        <v>1.3250275334760437</v>
      </c>
      <c r="E42" s="58">
        <f>$D$16 * ($E$16^(LN(2*$C42/$C$16)*LN($C42/$C$16)))</f>
        <v>1.2780901847924515</v>
      </c>
      <c r="F42" s="58">
        <f>$E42 * (LN($E$16) * (2 * LN($C42/$C$16) + LN(2)) + 1)</f>
        <v>1.632586296726023</v>
      </c>
      <c r="H42" s="53"/>
      <c r="K42" s="58">
        <f>$E42 * (LN($E$16) * (LN(2*$C42/$C$16) + LN($C42/$C$16)) + 1)</f>
        <v>1.632586296726023</v>
      </c>
      <c r="L42" s="54">
        <f>ABS(E42-D42)</f>
        <v>4.6937348683592228E-2</v>
      </c>
    </row>
    <row r="43" spans="2:12" x14ac:dyDescent="0.25">
      <c r="L43" s="54">
        <f>SUM(L25:L42)</f>
        <v>0.46872974187657956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Business-Plan</vt:lpstr>
      <vt:lpstr>Pool-Simulator</vt:lpstr>
      <vt:lpstr>Token-Curves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2022-03-16T20:56:41Z</dcterms:created>
  <dcterms:modified xsi:type="dcterms:W3CDTF">2022-03-21T00:15:49Z</dcterms:modified>
</cp:coreProperties>
</file>